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1"/>
  </bookViews>
  <sheets>
    <sheet name="доходи" sheetId="1" r:id="rId1"/>
    <sheet name="КФК" sheetId="2" r:id="rId2"/>
    <sheet name="ГРК" sheetId="3" r:id="rId3"/>
    <sheet name="субвенции" sheetId="4" r:id="rId4"/>
    <sheet name="кредитув" sheetId="5" r:id="rId5"/>
    <sheet name="джерела" sheetId="6" r:id="rId6"/>
    <sheet name="обьекти" sheetId="7" r:id="rId7"/>
  </sheets>
  <externalReferences>
    <externalReference r:id="rId10"/>
  </externalReferences>
  <definedNames>
    <definedName name="_xlnm.Print_Titles" localSheetId="2">'ГРК'!$8:$12</definedName>
    <definedName name="_xlnm.Print_Titles" localSheetId="0">'доходи'!$8:$10</definedName>
    <definedName name="_xlnm.Print_Titles" localSheetId="4">'кредитув'!$9:$12</definedName>
    <definedName name="_xlnm.Print_Titles" localSheetId="1">'КФК'!$8:$13</definedName>
    <definedName name="_xlnm.Print_Titles" localSheetId="6">'обьекти'!$9:$9</definedName>
    <definedName name="_xlnm.Print_Titles" localSheetId="3">'субвенции'!$B:$B</definedName>
    <definedName name="_xlnm.Print_Area" localSheetId="4">'кредитув'!$A$1:$O$53</definedName>
    <definedName name="_xlnm.Print_Area" localSheetId="3">'субвенции'!$A$1:$U$53</definedName>
  </definedNames>
  <calcPr fullCalcOnLoad="1"/>
</workbook>
</file>

<file path=xl/sharedStrings.xml><?xml version="1.0" encoding="utf-8"?>
<sst xmlns="http://schemas.openxmlformats.org/spreadsheetml/2006/main" count="963" uniqueCount="621">
  <si>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</si>
  <si>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</si>
  <si>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070307</t>
  </si>
  <si>
    <t>Субвенції спеціального фонду</t>
  </si>
  <si>
    <t>міста: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</si>
  <si>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</si>
  <si>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</si>
  <si>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</si>
  <si>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Всього видатків</t>
  </si>
  <si>
    <t>070401</t>
  </si>
  <si>
    <t>070701</t>
  </si>
  <si>
    <t>070802</t>
  </si>
  <si>
    <t>Методична робота, iншi заходи у сфері народної освіти</t>
  </si>
  <si>
    <t>070804</t>
  </si>
  <si>
    <t xml:space="preserve">Централізовані бухгалтерії </t>
  </si>
  <si>
    <t>070805</t>
  </si>
  <si>
    <t>070806</t>
  </si>
  <si>
    <t xml:space="preserve"> Інші заклади освіти</t>
  </si>
  <si>
    <t>Надання інших внутрішніх кредитів</t>
  </si>
  <si>
    <t>091108</t>
  </si>
  <si>
    <t>130107</t>
  </si>
  <si>
    <t>070809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</si>
  <si>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</si>
  <si>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080101</t>
  </si>
  <si>
    <t xml:space="preserve"> Лікарні</t>
  </si>
  <si>
    <t>150000</t>
  </si>
  <si>
    <t>240000</t>
  </si>
  <si>
    <t>240602</t>
  </si>
  <si>
    <t>240601</t>
  </si>
  <si>
    <t>080201</t>
  </si>
  <si>
    <t>080204</t>
  </si>
  <si>
    <t>080205</t>
  </si>
  <si>
    <t>080207</t>
  </si>
  <si>
    <t>080208</t>
  </si>
  <si>
    <t>080400</t>
  </si>
  <si>
    <t>080704</t>
  </si>
  <si>
    <t>081001</t>
  </si>
  <si>
    <t>081002</t>
  </si>
  <si>
    <t>081003</t>
  </si>
  <si>
    <t>081004</t>
  </si>
  <si>
    <t>070702</t>
  </si>
  <si>
    <t>070601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</si>
  <si>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</si>
  <si>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</si>
  <si>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</si>
  <si>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</si>
  <si>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>090401</t>
  </si>
  <si>
    <t>Державна соціальна допомога малозабезпеченим сім'ям</t>
  </si>
  <si>
    <t>090413</t>
  </si>
  <si>
    <t>Допомога на догляд за інвалідом I чи II групи внаслідок психічного розладу</t>
  </si>
  <si>
    <t>090417</t>
  </si>
  <si>
    <t>090601</t>
  </si>
  <si>
    <t>090901</t>
  </si>
  <si>
    <t>091203</t>
  </si>
  <si>
    <t>091210</t>
  </si>
  <si>
    <t>091212</t>
  </si>
  <si>
    <t>091214</t>
  </si>
  <si>
    <t>250404</t>
  </si>
  <si>
    <t>Інші видатки</t>
  </si>
  <si>
    <t>091300</t>
  </si>
  <si>
    <t>Державна соціальна допомога інвалідам з дитинства та дітям-інвалідам</t>
  </si>
  <si>
    <t>091301</t>
  </si>
  <si>
    <t>170302</t>
  </si>
  <si>
    <t>090701</t>
  </si>
  <si>
    <t>090700</t>
  </si>
  <si>
    <t>091106</t>
  </si>
  <si>
    <t>Інвестиційні проекти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</si>
  <si>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</si>
  <si>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</si>
  <si>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</si>
  <si>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</si>
  <si>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</si>
  <si>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</si>
  <si>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</si>
  <si>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Надходження від викидів забруднюючих речовин в атмосферне повітря стаціонарними джерелами забруднення</t>
  </si>
  <si>
    <t>130115</t>
  </si>
  <si>
    <t>Центри "Спорт для всіх" та заходи з фізичної культури</t>
  </si>
  <si>
    <t>Збір за місця для паркування транспортних засобів, сплачений фізичними особами</t>
  </si>
  <si>
    <t>19040100 </t>
  </si>
  <si>
    <t>Фіксований сільськогосподарський податок, нарахований після 1 січня 2001 року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</si>
  <si>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</si>
  <si>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окремі заходи по реалізації державних (регіональних) програм, не віднесені до заходів розвитку</t>
  </si>
  <si>
    <t>170102</t>
  </si>
  <si>
    <t xml:space="preserve"> Управління  у справах молоді та спорту облдержадміністрації</t>
  </si>
  <si>
    <t>091101</t>
  </si>
  <si>
    <t>091102</t>
  </si>
  <si>
    <t>130204</t>
  </si>
  <si>
    <t>100103</t>
  </si>
  <si>
    <t>100501</t>
  </si>
  <si>
    <t>150101</t>
  </si>
  <si>
    <t>Для проведення ремонту Відділу реєстрації шлюбів та народжень Луганського міського управління юстиції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</si>
  <si>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</si>
  <si>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</si>
  <si>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</si>
  <si>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</si>
  <si>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</si>
  <si>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</si>
  <si>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</si>
  <si>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(КЕКВ 1320)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</si>
  <si>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</si>
  <si>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</si>
  <si>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 xml:space="preserve"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 </t>
  </si>
  <si>
    <t>Вищі заклади освіти  I та II рiвнiв акредитацiї</t>
  </si>
  <si>
    <t>208400</t>
  </si>
  <si>
    <t>Кошти, одержані із загального фонду бюджету до бюджету розвитку (спеціального фонду)</t>
  </si>
  <si>
    <t>602400</t>
  </si>
  <si>
    <t>Податок на доходи фізичних осіб </t>
  </si>
  <si>
    <t>Фіксований податок на доходи фізичних осіб від зайняття підприємницькою діяльністю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</si>
  <si>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</si>
  <si>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Утримання центрiв соцiальних служб для сім'ї, дітей та молодi</t>
  </si>
  <si>
    <t>Програми i заходи центрiв соцiальних служб для сім'ї, дітей та молодi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</si>
  <si>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</si>
  <si>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070501</t>
  </si>
  <si>
    <t>Професійно-технічні заклади освіти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</si>
  <si>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</si>
  <si>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1</t>
  </si>
  <si>
    <t>Найменування доходів згідно із бюджетною класифікацією</t>
  </si>
  <si>
    <t>у т.ч. бюджет розвитку</t>
  </si>
  <si>
    <t>6=(гр.3+гр.4)</t>
  </si>
  <si>
    <t>Податкові надходження</t>
  </si>
  <si>
    <t>Х</t>
  </si>
  <si>
    <t>Податок на прибуток підприємств</t>
  </si>
  <si>
    <t>КВК  КФКВ    КЕКВ</t>
  </si>
  <si>
    <t>інша субвенція лікарям акушер-гінекологам, лікарям педіатрам-неонатологам         (КЕКВ 1320)</t>
  </si>
  <si>
    <t>від 17.10.2012 року  № 29/1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</si>
  <si>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</si>
  <si>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</si>
  <si>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</si>
  <si>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</si>
  <si>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</si>
  <si>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</si>
  <si>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</si>
  <si>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>Неподаткові надходження</t>
  </si>
  <si>
    <t xml:space="preserve"> Головне управління житлово-комунального господарства облдержадміністрації</t>
  </si>
  <si>
    <t>300</t>
  </si>
  <si>
    <t xml:space="preserve">Державне мито </t>
  </si>
  <si>
    <t>Перерахування підприємцями частки вартості нестандартної продукції, виготовленої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</si>
  <si>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Адміністративні штрафи та інші санкції</t>
  </si>
  <si>
    <t>130106</t>
  </si>
  <si>
    <t>Проведення масових заходів з фізичної культури</t>
  </si>
  <si>
    <t xml:space="preserve">Утримання апарату управлiння громадських фiзкультурно-спортивних органiзацiй </t>
  </si>
  <si>
    <t>130110</t>
  </si>
  <si>
    <t xml:space="preserve">Спортивні споруди, що повністю утримуються з бюджету 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</si>
  <si>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</si>
  <si>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</si>
  <si>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</si>
  <si>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</si>
  <si>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 xml:space="preserve">Джерела фінансування обласного бюджету на 2011 рік 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</si>
  <si>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</si>
  <si>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</si>
  <si>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</si>
  <si>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</si>
  <si>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</si>
  <si>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</si>
  <si>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</si>
  <si>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</si>
  <si>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 xml:space="preserve">"_____"  __________  2010 року  №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</si>
  <si>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</si>
  <si>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</si>
  <si>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</si>
  <si>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</si>
  <si>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</si>
  <si>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</si>
  <si>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</si>
  <si>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</si>
  <si>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</si>
  <si>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</si>
  <si>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</si>
  <si>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Плата за гарантії, надані  Верховною Радою Автономної Республіки Крим та міськими радами</t>
  </si>
  <si>
    <t>Дотація житлово-комунальному господарству </t>
  </si>
  <si>
    <t>Разом доходів</t>
  </si>
  <si>
    <t>250915</t>
  </si>
  <si>
    <t xml:space="preserve"> Управління  культури і туризму облдержадміністрації</t>
  </si>
  <si>
    <t>110105</t>
  </si>
  <si>
    <t>Фінансова підтримка гастрольної діяльності</t>
  </si>
  <si>
    <t>110204</t>
  </si>
  <si>
    <t>Палаци i будинки культури, клуби та iншi заклади клубного типу</t>
  </si>
  <si>
    <t>110502</t>
  </si>
  <si>
    <t>Управління будівництва облдержадміністрації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</si>
  <si>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</si>
  <si>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</si>
  <si>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</si>
  <si>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</si>
  <si>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</si>
  <si>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</si>
  <si>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Виконавчий комітет Луганської міської ради</t>
  </si>
  <si>
    <t xml:space="preserve">Повернення коштів, наданих для кредитування індивідуальних сільських забудовників 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</si>
  <si>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</si>
  <si>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</si>
  <si>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Управління стратегічного розвитку області облдержадміністрації</t>
  </si>
  <si>
    <t xml:space="preserve">Інші видатки </t>
  </si>
  <si>
    <t>Завершення проектів газифікації сільських населених пунктів з високим ступенем готовності</t>
  </si>
  <si>
    <t>інша субвенція для поліпшення житлових умов багатодітних сімей, в яких виховується 10 і більше дітей            (кек 2420)</t>
  </si>
  <si>
    <t>Луганська обласна державна адміністрація</t>
  </si>
  <si>
    <t>Головне управління охорони здоров'я Луганської обласної державної адміністрації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</si>
  <si>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</si>
  <si>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</si>
  <si>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Податки на доходи, податки на прибуток, податки на збільшення ринкової вартості</t>
  </si>
  <si>
    <t>Податок на доходи найманих працівників </t>
  </si>
  <si>
    <t>Податок на прибуток підприємств та фінансових установ комунальної власності</t>
  </si>
  <si>
    <t xml:space="preserve">Збори та плата  за спеціальне використання природних ресурсів </t>
  </si>
  <si>
    <t xml:space="preserve">Збір за спеціальне використання лісових ресурсів </t>
  </si>
  <si>
    <r>
      <t>Видатки на проведення робіт, пов</t>
    </r>
    <r>
      <rPr>
        <b/>
        <sz val="10"/>
        <rFont val="Arial"/>
        <family val="2"/>
      </rPr>
      <t>´</t>
    </r>
    <r>
      <rPr>
        <b/>
        <sz val="10"/>
        <rFont val="Arial CE"/>
        <family val="0"/>
      </rPr>
      <t>язаних з будівництвом, реконструкцією, ремонтом та утриманням автомобільних доріг</t>
    </r>
  </si>
  <si>
    <t>170703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</si>
  <si>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</si>
  <si>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</si>
  <si>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</si>
  <si>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Інші податки та збори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</si>
  <si>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</si>
  <si>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</si>
  <si>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Єдиний податок  </t>
  </si>
  <si>
    <t>Кошти від продажу землі і нематеріальних активів</t>
  </si>
  <si>
    <t>Місцеві податки і збори</t>
  </si>
  <si>
    <t>Збір за провадження деяких видів підприємницької діяльності</t>
  </si>
  <si>
    <t>Доходи від операцій з капіталом </t>
  </si>
  <si>
    <t xml:space="preserve"> Головне управління праці та соціального захисту населення Луганської обласної державної адміністрації: </t>
  </si>
  <si>
    <t>Служба у справах дітей Луганської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</si>
  <si>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</si>
  <si>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</si>
  <si>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160101</t>
  </si>
  <si>
    <t>Землеустрiй</t>
  </si>
  <si>
    <t>Управління у справах преси та інформації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</si>
  <si>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</si>
  <si>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</si>
  <si>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</si>
  <si>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Головне фінансове управління Луганської обласної державної адміністрації</t>
  </si>
  <si>
    <t>Головне управління економіки обласної державної адміністрації</t>
  </si>
  <si>
    <t>Управління містобудування та архітектури облдержадміністрації</t>
  </si>
  <si>
    <t>Головне фінансове управління облдержадміністрації</t>
  </si>
  <si>
    <t>Резервний фонд</t>
  </si>
  <si>
    <t>250306</t>
  </si>
  <si>
    <t>005</t>
  </si>
  <si>
    <t>250380</t>
  </si>
  <si>
    <t>Благоустрій міст, сіл, селищ</t>
  </si>
  <si>
    <t>виконавчого апарату</t>
  </si>
  <si>
    <t>Луганськ</t>
  </si>
  <si>
    <t>Алчевськ</t>
  </si>
  <si>
    <t>Антрацит</t>
  </si>
  <si>
    <t>Брянка</t>
  </si>
  <si>
    <t>Кіровськ</t>
  </si>
  <si>
    <t>Красний Луч</t>
  </si>
  <si>
    <t>Краснодон</t>
  </si>
  <si>
    <t>_______________________  № ______</t>
  </si>
  <si>
    <t xml:space="preserve">___________________________  № _____ </t>
  </si>
  <si>
    <t>інша субвенція  Слов'яносербському районному бюджету на утримання Трьохізбенського жилфонду                                    (КЕКВ 1320)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</si>
  <si>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             (КЕКВ 1320)</t>
  </si>
  <si>
    <t>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                     (КЕКВ 1320)</t>
  </si>
  <si>
    <t>_______________________  № ___</t>
  </si>
  <si>
    <t>____________________ № ____</t>
  </si>
  <si>
    <t xml:space="preserve">                             _______________________ № ______</t>
  </si>
  <si>
    <t>Лисичанськ</t>
  </si>
  <si>
    <t>Первомайськ</t>
  </si>
  <si>
    <t>Ровеньки</t>
  </si>
  <si>
    <t>Рубіжне</t>
  </si>
  <si>
    <t>Свердловськ</t>
  </si>
  <si>
    <t>Стаханов</t>
  </si>
  <si>
    <t>райони:</t>
  </si>
  <si>
    <t xml:space="preserve">Антрацитівський </t>
  </si>
  <si>
    <t>Фiнансування енергозберiгаючих заходiв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</si>
  <si>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</si>
  <si>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</si>
  <si>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</si>
  <si>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</si>
  <si>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</si>
  <si>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</si>
  <si>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</si>
  <si>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</si>
  <si>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</si>
  <si>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</si>
  <si>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</si>
  <si>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</si>
  <si>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</si>
  <si>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</si>
  <si>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Старобільський </t>
  </si>
  <si>
    <t xml:space="preserve">Троїцький </t>
  </si>
  <si>
    <t>до рішення</t>
  </si>
  <si>
    <t>Разом</t>
  </si>
  <si>
    <t>Керівник секретаріату</t>
  </si>
  <si>
    <t>Код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</si>
  <si>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</si>
  <si>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</si>
  <si>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</si>
  <si>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</si>
  <si>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</si>
  <si>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</si>
  <si>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</si>
  <si>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</si>
  <si>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</si>
  <si>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</si>
  <si>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</si>
  <si>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</si>
  <si>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</si>
  <si>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</si>
  <si>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</si>
  <si>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</si>
  <si>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</si>
  <si>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</si>
  <si>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</si>
  <si>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</si>
  <si>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</si>
  <si>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 xml:space="preserve">Центри соціально-психологічної реабілітації дітей </t>
  </si>
  <si>
    <t xml:space="preserve">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                (КЕКВ 1320)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</si>
  <si>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                                                          (КЕКВ 1320)</t>
  </si>
  <si>
    <t>з державного бюджету місцевим бюджетам на здійснення заходів щодо соціально-економічного розвитку регіонів                                      (КЕКВ 2420)</t>
  </si>
  <si>
    <t>Субвенція з державного бюджету місцевим бюджетам для стимулювання розвитку регіонів, в тому числі депресивних територій</t>
  </si>
  <si>
    <t>250341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</si>
  <si>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</si>
  <si>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</si>
  <si>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</si>
  <si>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180109</t>
  </si>
  <si>
    <t>Програма стабілізації та соціально-економічного розвитку територій </t>
  </si>
  <si>
    <t>Обробка інформації з нарахування та виплати допомог і компенсацій</t>
  </si>
  <si>
    <t>Iншi установи та заклади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</si>
  <si>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</si>
  <si>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</si>
  <si>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</si>
  <si>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</si>
  <si>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Театри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</si>
  <si>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</si>
  <si>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</si>
  <si>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</si>
  <si>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Кiнематографiя</t>
  </si>
  <si>
    <t>ДОДАТОК 2</t>
  </si>
  <si>
    <t>Землеустрій</t>
  </si>
  <si>
    <t>Iншi культурно-освiтнi заклади та заходи</t>
  </si>
  <si>
    <t>120100</t>
  </si>
  <si>
    <t>120201</t>
  </si>
  <si>
    <t>Перiодичнi видання (газети та журнали)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</si>
  <si>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</si>
  <si>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</si>
  <si>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шкiл</t>
  </si>
  <si>
    <t>130203</t>
  </si>
  <si>
    <t>ВСЬОГО</t>
  </si>
  <si>
    <t>Повернення інших внутрішніх кредитів</t>
  </si>
  <si>
    <t>100209</t>
  </si>
  <si>
    <t>Заходи, пов"язані з поліпшенням питної води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</si>
  <si>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</si>
  <si>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</si>
  <si>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Будівництво</t>
  </si>
  <si>
    <t>Капітальні вкладення</t>
  </si>
  <si>
    <t>150107</t>
  </si>
  <si>
    <t>Будівництво  футбольного  поля  для  комунальної  установи  "Луганський  обласний  фізкультурний  центр  "Олімп" м.Кремінна</t>
  </si>
  <si>
    <t>250382</t>
  </si>
  <si>
    <t>Забезпечення централізованих заходів з лікування хворих на цукровий  та нецукровий діабет</t>
  </si>
  <si>
    <t>Притулки для дітей</t>
  </si>
  <si>
    <t>Інші програми соціального захисту дітей</t>
  </si>
  <si>
    <t xml:space="preserve"> ДОДАТОК 4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</si>
  <si>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</si>
  <si>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</si>
  <si>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</si>
  <si>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</si>
  <si>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</si>
  <si>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</si>
  <si>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(тис. грн)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</si>
  <si>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</si>
  <si>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250383</t>
  </si>
  <si>
    <t xml:space="preserve">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(кек 1320)   </t>
  </si>
  <si>
    <t xml:space="preserve">Надання бюджетних позичок суб'єктам підприємницької діяльності </t>
  </si>
  <si>
    <t>Надання кредитів підприємствам, установам, організаціям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</si>
  <si>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</si>
  <si>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інша субвенція  Донецькому обласному бюджету на утримання об'єкту спільного користування - Комунальної лікувально-профілактичної установи "Обласна психіатрична лікарня міста Жданівка"          (КЕКВ 1320)</t>
  </si>
  <si>
    <t>Сєвєродонецьк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</si>
  <si>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</si>
  <si>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</si>
  <si>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Iншi заходи по охороні здоров'я</t>
  </si>
  <si>
    <t xml:space="preserve"> Управління  у справах сім'ї, молоді та спорту Луганської обласної державної адміністрації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</si>
  <si>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</si>
  <si>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250315</t>
  </si>
  <si>
    <t xml:space="preserve">Інша дотація </t>
  </si>
  <si>
    <t>Розподіл видатків обласного бюджету на 2011 рік за головними розпорядниками коштів</t>
  </si>
  <si>
    <t>Показники міжбюджетних трансфертів з Луганського обласного бюджету на 2011 рік</t>
  </si>
  <si>
    <t>Повернення кредитів до обласного бюджету та надання кредитів з обласного бюджету на 2011 рік</t>
  </si>
  <si>
    <t>об`єктів, видатки на які у 2011 році будуть проводитись за рахунок коштів бюджету розвитку</t>
  </si>
  <si>
    <t>Інша дотація бюджету Рубіжне на підтримку галузі охорона здоров'я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</si>
  <si>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</si>
  <si>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</si>
  <si>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Житлове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</si>
  <si>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</si>
  <si>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пiльговий проїзд окремих категорiй громадян на залізничному транспорті</t>
  </si>
  <si>
    <t>180409</t>
  </si>
  <si>
    <t>Збереження природно-заповідного фонду</t>
  </si>
  <si>
    <t>Видатки Кремінського міського бюджету на 2012 рік за тимчасовою класифікацією видатків та кредитування місцевих бюджетів</t>
  </si>
  <si>
    <t>Видатки на попередження та ліквідацію надзвичайних ситуацій та наслідків стихійного лиха</t>
  </si>
  <si>
    <t>200000</t>
  </si>
  <si>
    <t>200200</t>
  </si>
  <si>
    <t>Охорона i рацiональне використання земель</t>
  </si>
  <si>
    <t xml:space="preserve">Доходи  Кремінського міського  бюджету на 2011 рік </t>
  </si>
  <si>
    <t>Кремінська міська рада</t>
  </si>
  <si>
    <t>вул.Шевченко, будинки №№ 10,12,14,29</t>
  </si>
  <si>
    <t>вул.Побєди, будинки №№ 1,3,4,6,8,9,10</t>
  </si>
  <si>
    <t>вул.Інтернаціональна, будинки №№ 78,96</t>
  </si>
  <si>
    <t>вул.Титова,будинок №12</t>
  </si>
  <si>
    <t>пров.Леніна, будинки №№8,10</t>
  </si>
  <si>
    <t>Капітальний ремонт будівлі міської ради</t>
  </si>
  <si>
    <t>Капітальний ремонт водопровідних та каналізаційних мереж</t>
  </si>
  <si>
    <t>Газифікація клубу с.Житлівка</t>
  </si>
  <si>
    <t>Дробилка молоткова</t>
  </si>
  <si>
    <t>Мусоровоз (КО-440-1)</t>
  </si>
  <si>
    <t>Мусоровоз (КО-413)</t>
  </si>
  <si>
    <t>Екскаватор-2102</t>
  </si>
  <si>
    <t xml:space="preserve">Придбання комп"ютерної техніки </t>
  </si>
  <si>
    <t>Придбання обладнання для дошкільних навчальних закладів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</si>
  <si>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</si>
  <si>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</si>
  <si>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Податок з власників транспортних засобів та інших самохідних машин і механізмів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</si>
  <si>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</si>
  <si>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</si>
  <si>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</si>
  <si>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</si>
  <si>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250327</t>
  </si>
  <si>
    <t>250328</t>
  </si>
  <si>
    <t>250329</t>
  </si>
  <si>
    <t>250330</t>
  </si>
  <si>
    <t>250335</t>
  </si>
  <si>
    <t>250342</t>
  </si>
  <si>
    <t xml:space="preserve">Будівництво мінікотельної для теплопостачання будівлі Луганського окружного адміністративного суду </t>
  </si>
  <si>
    <t>250376</t>
  </si>
  <si>
    <t>250364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</si>
  <si>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</si>
  <si>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</si>
  <si>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здоров’я</t>
  </si>
  <si>
    <t>250361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</si>
  <si>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 (або) розумового розвитку</t>
  </si>
  <si>
    <t>Інші субвенції</t>
  </si>
  <si>
    <t>ДОДАТОК 3</t>
  </si>
  <si>
    <t>Перелік</t>
  </si>
  <si>
    <t>ДОДАТОК 5</t>
  </si>
  <si>
    <t xml:space="preserve">Видатки загального фонду </t>
  </si>
  <si>
    <t>006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</si>
  <si>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</si>
  <si>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001</t>
  </si>
  <si>
    <t>інша субвенція на капітальний ремонт та реконструкцію баклабораторій (кек 2420)</t>
  </si>
  <si>
    <t>Телебачення i радіомовлення</t>
  </si>
  <si>
    <t>Інші видатки (фінансова підтримка обласної ради жінок)</t>
  </si>
  <si>
    <t>020</t>
  </si>
  <si>
    <t>Загальноосвітні  школи-iнтернати, загальноосвітні санаторні школи-інтернати</t>
  </si>
  <si>
    <t>Загальноосвітні школи-iнтернати для дiтей-сирiт та дітей, які залишилися без піклування батьків</t>
  </si>
  <si>
    <t>Дитячі будинки (в т.ч. сімейного типу, прийомні сім'ї)</t>
  </si>
  <si>
    <t xml:space="preserve">Донецький обласний бюджет 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</si>
  <si>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</si>
  <si>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</si>
  <si>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Позашкільні заклади освіти, заходи із позашкільної роботи з дітьми</t>
  </si>
  <si>
    <t>Групи  централізованого господарського обслуговування</t>
  </si>
  <si>
    <t>030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</si>
  <si>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</si>
  <si>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Санаторії для хворих на туберкульоз</t>
  </si>
  <si>
    <t>Санаторії для дітей та пiдлiткiв (нетуберкульознi)</t>
  </si>
  <si>
    <t>Будинки дитини</t>
  </si>
  <si>
    <t>Станції переливання крові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</si>
  <si>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</si>
  <si>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Центри здоров'я i заходи у сфері санітарної освіти</t>
  </si>
  <si>
    <t>Медико-соціальні експертні комісії</t>
  </si>
  <si>
    <t>Служби технiчного нагляду за будiвництвом та капiтальним ремонтом</t>
  </si>
  <si>
    <t>Централiзованi бухгалтерiї</t>
  </si>
  <si>
    <t>081009</t>
  </si>
  <si>
    <t>Вищi заклади освіти  I та II рiвнiв акредитацiї</t>
  </si>
  <si>
    <t>Iншi заклади i заходи пiслядипломної освiти</t>
  </si>
  <si>
    <t xml:space="preserve"> Облмедбібліотека</t>
  </si>
  <si>
    <t>072</t>
  </si>
  <si>
    <t>100202</t>
  </si>
  <si>
    <t>Водопровідно-каналізаційне господарство</t>
  </si>
  <si>
    <t>Заходи з організації рятування на водах</t>
  </si>
  <si>
    <t>050</t>
  </si>
  <si>
    <t>Виплата компенсацiї реабiлiтованим</t>
  </si>
  <si>
    <t>Головне управління охорони здоров'я облдержадміністрації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</si>
  <si>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</si>
  <si>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</si>
  <si>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</si>
  <si>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</si>
  <si>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</si>
  <si>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Будинки-iнтернати для малолiтнiх iнвалiдiв</t>
  </si>
  <si>
    <t>Будинки-iнтернати (пансіонати) для літніх людей та iнвалiдiв системи соцiального захисту</t>
  </si>
  <si>
    <t>Навчання та трудове влаштування iнвалiдiв</t>
  </si>
  <si>
    <t>Державна соціальна допомога інвалідам з дитинства та дітям інвалідам</t>
  </si>
  <si>
    <t>010</t>
  </si>
  <si>
    <t>060</t>
  </si>
  <si>
    <t>091103</t>
  </si>
  <si>
    <t>ДОДАТОК 6</t>
  </si>
  <si>
    <t>Соціальні програми i заходи державних органiв у справах молоді</t>
  </si>
  <si>
    <t>062</t>
  </si>
  <si>
    <t>090802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</si>
  <si>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</si>
  <si>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державну реєстрацію суб’єктів підприємницької діяльності</t>
  </si>
  <si>
    <t>150115</t>
  </si>
  <si>
    <t>250403</t>
  </si>
  <si>
    <t>міської  ради</t>
  </si>
  <si>
    <t>"12" січня 2011 року №____</t>
  </si>
  <si>
    <t>Плата за землю</t>
  </si>
  <si>
    <t>Податок на промисел</t>
  </si>
  <si>
    <t>Секретар міської ради</t>
  </si>
  <si>
    <t>Л.В.Колесніченко</t>
  </si>
  <si>
    <t>100101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</si>
  <si>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</si>
  <si>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</si>
  <si>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</si>
  <si>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</si>
  <si>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</si>
  <si>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</si>
  <si>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Видатки на покриття інших заборгованостей, що виникли у попередні роки</t>
  </si>
  <si>
    <t>160</t>
  </si>
  <si>
    <t>104</t>
  </si>
  <si>
    <t>Позашкiльнi заклади освiти, заходи iз позашкiльної роботи з дiтьми</t>
  </si>
  <si>
    <t>140</t>
  </si>
  <si>
    <t xml:space="preserve">Управління транспорту та зв’язку облдержадміністрації </t>
  </si>
  <si>
    <t>Iншi засоби масової iнформацiї</t>
  </si>
  <si>
    <t>191</t>
  </si>
  <si>
    <t>Капiтальнi вкладення</t>
  </si>
  <si>
    <t>190</t>
  </si>
  <si>
    <t>235</t>
  </si>
  <si>
    <t>161</t>
  </si>
  <si>
    <t>Головне управління промисловості та розвитку інфрастуктури облдержадміністрації</t>
  </si>
  <si>
    <t>230</t>
  </si>
  <si>
    <t>018</t>
  </si>
  <si>
    <t>200</t>
  </si>
  <si>
    <t>220</t>
  </si>
  <si>
    <t xml:space="preserve"> РАЗОМ ВИДАТКІВ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</si>
  <si>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</si>
  <si>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</si>
  <si>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Ігші субвенції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</si>
  <si>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</si>
  <si>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</si>
  <si>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(КЕКВ 1320)</t>
  </si>
  <si>
    <t>інша субвенція на утримання притулків для неповнолітніх (КЕКВ 1320)</t>
  </si>
  <si>
    <t xml:space="preserve">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                           (КЕКВ 1320)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</si>
  <si>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(КЕКВ 1320)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</si>
  <si>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</si>
  <si>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</si>
  <si>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вул.Октябрьська,будинок №7</t>
  </si>
  <si>
    <t>Капітальний ремонт  житлового фонду</t>
  </si>
  <si>
    <t>Капітальний ремонт водопровідних  мереж по вул.Піонерська</t>
  </si>
  <si>
    <t>Капітальний ремонт водопровідних  мереж по вул.Пролетарська п.Ст.Краснянка</t>
  </si>
  <si>
    <t>Капітальний ремонт пожежних гідрантів</t>
  </si>
  <si>
    <t>Газифікація  ДНЗ  "Ластівка"</t>
  </si>
  <si>
    <t>Проектно- технічна документація по реконструкції водозабору с.Житлівка</t>
  </si>
  <si>
    <t>Стінка меблева для ДНЗ "Малятко"</t>
  </si>
  <si>
    <t>Придбання техніки для комунальних підприємств,</t>
  </si>
  <si>
    <t>Капітальний ремонт покрівель та інженерних мереж багатоповерхового житлового фонду,</t>
  </si>
  <si>
    <t>Реконструкція системи водопостачання м.Кремінна, 1 етап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</si>
  <si>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</si>
  <si>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О.Г.Пашенцев</t>
  </si>
  <si>
    <t>обласної ради</t>
  </si>
  <si>
    <t xml:space="preserve">Дотація житлово-комунальному господарству </t>
  </si>
  <si>
    <t>КЕК</t>
  </si>
  <si>
    <t>Загальний фонд</t>
  </si>
  <si>
    <t>Спеціальний фонд</t>
  </si>
  <si>
    <t>у тому числі:</t>
  </si>
  <si>
    <t>Податки на власність</t>
  </si>
  <si>
    <t>Доходи від власності та підприємницької діяльності</t>
  </si>
  <si>
    <t>208320</t>
  </si>
  <si>
    <t>208330</t>
  </si>
  <si>
    <t>602302</t>
  </si>
  <si>
    <t>602303</t>
  </si>
  <si>
    <t>у тому числі субвенції загального фонду :</t>
  </si>
  <si>
    <t>Власні надходження бюджетних установ</t>
  </si>
  <si>
    <t>Цільові фонди</t>
  </si>
  <si>
    <t>070807</t>
  </si>
  <si>
    <t>Інші  освітні програми</t>
  </si>
  <si>
    <t>080</t>
  </si>
  <si>
    <t>8=1-7-9</t>
  </si>
  <si>
    <t>Управління з питань надзвичайних ситуацій  Луганської обласної державної адміністрації</t>
  </si>
  <si>
    <t>Витрати на поховання учасників бойових дій та інвалідів війни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</si>
  <si>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</si>
  <si>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</si>
  <si>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Додаткова дотація з державного бюджету місцевим бюджетам на вирівнювання фінансової забезпеченості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</si>
  <si>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</si>
  <si>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 xml:space="preserve"> Надходження сум відсотків за користування  тимчасово  вільними   бюджетними   коштами  місцевих бюджетів 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</si>
  <si>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</si>
  <si>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</si>
  <si>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</si>
  <si>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</si>
  <si>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 xml:space="preserve"> Управління  з питань внутрішньої політики та зв'язків з громадськістю облдержадміністрації</t>
  </si>
  <si>
    <t>кек 1320</t>
  </si>
  <si>
    <t>Виконавчий апарат Луганської обласної ради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</si>
  <si>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</si>
  <si>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081011</t>
  </si>
  <si>
    <t>Управління культури і туризму облдержадміністрації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</si>
  <si>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</si>
  <si>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</si>
  <si>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</si>
  <si>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</si>
  <si>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</si>
  <si>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</si>
  <si>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</si>
  <si>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</si>
  <si>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</si>
  <si>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Код типової відомчої класифікації видатків</t>
  </si>
  <si>
    <t xml:space="preserve">Назва головного розпорядника коштів </t>
  </si>
  <si>
    <t>в тому числі бюджет розвитку</t>
  </si>
  <si>
    <t>код бюджету</t>
  </si>
  <si>
    <t>Найменування адміністративно-територіальних одиниць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</si>
  <si>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</si>
  <si>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</si>
  <si>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</si>
  <si>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</si>
  <si>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</si>
  <si>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</si>
  <si>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</si>
  <si>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</si>
  <si>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</si>
  <si>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</si>
  <si>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Код типової відомчої класифікації видатків місцевих бюджетів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</si>
  <si>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</si>
  <si>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</si>
  <si>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 Інші видатки</t>
  </si>
  <si>
    <t>Виконавчий апарат обласної ради</t>
  </si>
  <si>
    <t>010116</t>
  </si>
  <si>
    <t>Органи місцевого самоврядування</t>
  </si>
  <si>
    <t>тис. грн</t>
  </si>
  <si>
    <t>Iншi засоби масової інформації</t>
  </si>
  <si>
    <t>090412</t>
  </si>
  <si>
    <t>Управління освіти і науки облдержадміністрації</t>
  </si>
  <si>
    <t>070301</t>
  </si>
  <si>
    <t>250343</t>
  </si>
  <si>
    <t>070302</t>
  </si>
  <si>
    <t>070303</t>
  </si>
  <si>
    <t>070304</t>
  </si>
  <si>
    <t>250313</t>
  </si>
  <si>
    <t>Додаткова дотація з державного бюджету на вирівнювання фінансової забезпеченості місцевих бюджетів</t>
  </si>
  <si>
    <t>250355</t>
  </si>
  <si>
    <t>091303</t>
  </si>
  <si>
    <t>091304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</si>
</sst>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103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i/>
      <sz val="8"/>
      <name val="Arial CE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6"/>
      <name val="Arial Cyr"/>
      <family val="2"/>
    </font>
    <font>
      <sz val="16"/>
      <name val="Arial CE"/>
      <family val="2"/>
    </font>
    <font>
      <sz val="18"/>
      <name val="Arial Cyr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9"/>
      <color indexed="10"/>
      <name val="Arial CE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9"/>
      <color indexed="18"/>
      <name val="Arial CE"/>
      <family val="0"/>
    </font>
    <font>
      <sz val="10"/>
      <name val="Helv"/>
      <family val="0"/>
    </font>
    <font>
      <sz val="10"/>
      <color indexed="10"/>
      <name val="Arial CE"/>
      <family val="2"/>
    </font>
    <font>
      <sz val="20"/>
      <name val="Arial CE"/>
      <family val="2"/>
    </font>
    <font>
      <sz val="20"/>
      <name val="Arial Cyr"/>
      <family val="0"/>
    </font>
    <font>
      <b/>
      <sz val="9"/>
      <color indexed="20"/>
      <name val="Arial CE"/>
      <family val="0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9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20" fillId="0" borderId="0">
      <alignment/>
      <protection/>
    </xf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9" borderId="0" applyNumberFormat="0" applyBorder="0" applyAlignment="0" applyProtection="0"/>
    <xf numFmtId="0" fontId="75" fillId="7" borderId="1" applyNumberFormat="0" applyAlignment="0" applyProtection="0"/>
    <xf numFmtId="0" fontId="76" fillId="20" borderId="2" applyNumberFormat="0" applyAlignment="0" applyProtection="0"/>
    <xf numFmtId="0" fontId="77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79" fillId="21" borderId="7" applyNumberFormat="0" applyAlignment="0" applyProtection="0"/>
    <xf numFmtId="0" fontId="68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19" fillId="0" borderId="0">
      <alignment/>
      <protection/>
    </xf>
    <xf numFmtId="0" fontId="95" fillId="0" borderId="0">
      <alignment/>
      <protection/>
    </xf>
    <xf numFmtId="0" fontId="4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68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175" fontId="27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175" fontId="27" fillId="0" borderId="0" xfId="0" applyNumberFormat="1" applyFont="1" applyAlignment="1">
      <alignment/>
    </xf>
    <xf numFmtId="0" fontId="0" fillId="0" borderId="0" xfId="0" applyFill="1" applyAlignment="1">
      <alignment/>
    </xf>
    <xf numFmtId="175" fontId="16" fillId="0" borderId="0" xfId="0" applyNumberFormat="1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5" fontId="10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14" xfId="0" applyNumberFormat="1" applyFont="1" applyBorder="1" applyAlignment="1">
      <alignment horizontal="center" vertical="top"/>
    </xf>
    <xf numFmtId="175" fontId="1" fillId="0" borderId="14" xfId="0" applyNumberFormat="1" applyFont="1" applyFill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5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172" fontId="1" fillId="0" borderId="19" xfId="0" applyNumberFormat="1" applyFont="1" applyBorder="1" applyAlignment="1">
      <alignment horizontal="center" vertical="top"/>
    </xf>
    <xf numFmtId="175" fontId="1" fillId="0" borderId="19" xfId="0" applyNumberFormat="1" applyFont="1" applyFill="1" applyBorder="1" applyAlignment="1">
      <alignment horizontal="center" vertical="top"/>
    </xf>
    <xf numFmtId="175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75" fontId="15" fillId="0" borderId="11" xfId="0" applyNumberFormat="1" applyFont="1" applyBorder="1" applyAlignment="1">
      <alignment horizontal="center" vertical="top"/>
    </xf>
    <xf numFmtId="0" fontId="42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174" fontId="8" fillId="0" borderId="0" xfId="0" applyNumberFormat="1" applyFont="1" applyFill="1" applyBorder="1" applyAlignment="1">
      <alignment horizontal="right" vertical="top" wrapText="1"/>
    </xf>
    <xf numFmtId="175" fontId="38" fillId="0" borderId="0" xfId="0" applyNumberFormat="1" applyFont="1" applyFill="1" applyBorder="1" applyAlignment="1">
      <alignment horizontal="right" vertical="top" wrapText="1"/>
    </xf>
    <xf numFmtId="175" fontId="27" fillId="0" borderId="0" xfId="0" applyNumberFormat="1" applyFont="1" applyFill="1" applyBorder="1" applyAlignment="1">
      <alignment horizontal="right" vertical="top" wrapText="1"/>
    </xf>
    <xf numFmtId="172" fontId="27" fillId="0" borderId="0" xfId="0" applyNumberFormat="1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vertical="center" wrapText="1"/>
    </xf>
    <xf numFmtId="175" fontId="0" fillId="0" borderId="0" xfId="0" applyNumberFormat="1" applyFill="1" applyAlignment="1">
      <alignment/>
    </xf>
    <xf numFmtId="0" fontId="39" fillId="0" borderId="0" xfId="0" applyFont="1" applyFill="1" applyAlignment="1">
      <alignment horizontal="justify"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3" fillId="0" borderId="12" xfId="0" applyFont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175" fontId="28" fillId="0" borderId="0" xfId="0" applyNumberFormat="1" applyFont="1" applyBorder="1" applyAlignment="1">
      <alignment/>
    </xf>
    <xf numFmtId="0" fontId="45" fillId="0" borderId="0" xfId="0" applyFont="1" applyAlignment="1">
      <alignment horizontal="justify"/>
    </xf>
    <xf numFmtId="0" fontId="2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3" fillId="0" borderId="0" xfId="0" applyFont="1" applyFill="1" applyAlignment="1">
      <alignment horizontal="justify"/>
    </xf>
    <xf numFmtId="0" fontId="34" fillId="0" borderId="0" xfId="0" applyFont="1" applyFill="1" applyAlignment="1">
      <alignment horizontal="justify"/>
    </xf>
    <xf numFmtId="0" fontId="33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0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26" xfId="0" applyNumberFormat="1" applyFont="1" applyBorder="1" applyAlignment="1">
      <alignment/>
    </xf>
    <xf numFmtId="175" fontId="64" fillId="0" borderId="0" xfId="0" applyNumberFormat="1" applyFont="1" applyAlignment="1">
      <alignment/>
    </xf>
    <xf numFmtId="0" fontId="65" fillId="0" borderId="0" xfId="0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175" fontId="32" fillId="0" borderId="12" xfId="0" applyNumberFormat="1" applyFont="1" applyBorder="1" applyAlignment="1">
      <alignment/>
    </xf>
    <xf numFmtId="175" fontId="32" fillId="0" borderId="15" xfId="0" applyNumberFormat="1" applyFont="1" applyBorder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179" fontId="53" fillId="0" borderId="11" xfId="0" applyNumberFormat="1" applyFont="1" applyBorder="1" applyAlignment="1">
      <alignment horizontal="center" vertical="center" wrapText="1"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179" fontId="53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Border="1" applyAlignment="1">
      <alignment horizontal="center" vertical="center" wrapText="1"/>
    </xf>
    <xf numFmtId="179" fontId="61" fillId="0" borderId="11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175" fontId="17" fillId="0" borderId="12" xfId="0" applyNumberFormat="1" applyFont="1" applyFill="1" applyBorder="1" applyAlignment="1">
      <alignment/>
    </xf>
    <xf numFmtId="0" fontId="20" fillId="0" borderId="29" xfId="0" applyFont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173" fontId="17" fillId="0" borderId="12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5" fontId="32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30" fillId="0" borderId="30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74" fontId="37" fillId="0" borderId="11" xfId="43" applyNumberFormat="1" applyFont="1" applyFill="1" applyBorder="1" applyAlignment="1" applyProtection="1">
      <alignment horizontal="center" vertical="center" wrapText="1"/>
      <protection/>
    </xf>
    <xf numFmtId="174" fontId="37" fillId="0" borderId="0" xfId="43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9" fontId="6" fillId="0" borderId="15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 wrapText="1"/>
    </xf>
    <xf numFmtId="175" fontId="9" fillId="0" borderId="16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5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6" fillId="0" borderId="12" xfId="0" applyNumberFormat="1" applyFont="1" applyBorder="1" applyAlignment="1">
      <alignment vertical="center" wrapText="1"/>
    </xf>
    <xf numFmtId="175" fontId="6" fillId="0" borderId="33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/>
    </xf>
    <xf numFmtId="175" fontId="9" fillId="0" borderId="16" xfId="0" applyNumberFormat="1" applyFont="1" applyFill="1" applyBorder="1" applyAlignment="1">
      <alignment vertical="center"/>
    </xf>
    <xf numFmtId="175" fontId="9" fillId="0" borderId="12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 wrapText="1"/>
    </xf>
    <xf numFmtId="175" fontId="27" fillId="0" borderId="12" xfId="0" applyNumberFormat="1" applyFont="1" applyFill="1" applyBorder="1" applyAlignment="1">
      <alignment vertical="center" wrapText="1"/>
    </xf>
    <xf numFmtId="175" fontId="35" fillId="0" borderId="14" xfId="0" applyNumberFormat="1" applyFont="1" applyFill="1" applyBorder="1" applyAlignment="1" applyProtection="1">
      <alignment vertical="center"/>
      <protection/>
    </xf>
    <xf numFmtId="175" fontId="35" fillId="0" borderId="16" xfId="0" applyNumberFormat="1" applyFont="1" applyFill="1" applyBorder="1" applyAlignment="1" applyProtection="1">
      <alignment vertical="center"/>
      <protection/>
    </xf>
    <xf numFmtId="175" fontId="35" fillId="0" borderId="12" xfId="0" applyNumberFormat="1" applyFont="1" applyFill="1" applyBorder="1" applyAlignment="1" applyProtection="1">
      <alignment vertical="center"/>
      <protection/>
    </xf>
    <xf numFmtId="175" fontId="35" fillId="0" borderId="15" xfId="0" applyNumberFormat="1" applyFont="1" applyFill="1" applyBorder="1" applyAlignment="1" applyProtection="1">
      <alignment vertical="center"/>
      <protection/>
    </xf>
    <xf numFmtId="179" fontId="35" fillId="0" borderId="14" xfId="0" applyNumberFormat="1" applyFont="1" applyFill="1" applyBorder="1" applyAlignment="1" applyProtection="1">
      <alignment vertical="center"/>
      <protection/>
    </xf>
    <xf numFmtId="175" fontId="27" fillId="0" borderId="15" xfId="0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5" fontId="27" fillId="0" borderId="12" xfId="0" applyNumberFormat="1" applyFont="1" applyBorder="1" applyAlignment="1">
      <alignment vertical="center" wrapText="1"/>
    </xf>
    <xf numFmtId="175" fontId="35" fillId="0" borderId="16" xfId="0" applyNumberFormat="1" applyFont="1" applyFill="1" applyBorder="1" applyAlignment="1">
      <alignment vertical="center"/>
    </xf>
    <xf numFmtId="175" fontId="35" fillId="0" borderId="12" xfId="0" applyNumberFormat="1" applyFont="1" applyFill="1" applyBorder="1" applyAlignment="1">
      <alignment vertical="center"/>
    </xf>
    <xf numFmtId="175" fontId="36" fillId="0" borderId="16" xfId="0" applyNumberFormat="1" applyFont="1" applyFill="1" applyBorder="1" applyAlignment="1">
      <alignment vertical="center"/>
    </xf>
    <xf numFmtId="175" fontId="36" fillId="0" borderId="12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29" fillId="0" borderId="14" xfId="0" applyNumberFormat="1" applyFont="1" applyFill="1" applyBorder="1" applyAlignment="1">
      <alignment vertical="center" wrapText="1"/>
    </xf>
    <xf numFmtId="175" fontId="29" fillId="0" borderId="12" xfId="0" applyNumberFormat="1" applyFont="1" applyFill="1" applyBorder="1" applyAlignment="1">
      <alignment vertical="center" wrapText="1"/>
    </xf>
    <xf numFmtId="175" fontId="29" fillId="0" borderId="15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vertical="center" wrapText="1"/>
    </xf>
    <xf numFmtId="175" fontId="6" fillId="0" borderId="34" xfId="0" applyNumberFormat="1" applyFont="1" applyBorder="1" applyAlignment="1">
      <alignment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>
      <alignment vertical="center" wrapText="1"/>
    </xf>
    <xf numFmtId="179" fontId="27" fillId="0" borderId="14" xfId="0" applyNumberFormat="1" applyFont="1" applyFill="1" applyBorder="1" applyAlignment="1">
      <alignment vertical="center" wrapText="1"/>
    </xf>
    <xf numFmtId="179" fontId="27" fillId="0" borderId="14" xfId="0" applyNumberFormat="1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 wrapText="1"/>
    </xf>
    <xf numFmtId="175" fontId="6" fillId="0" borderId="26" xfId="0" applyNumberFormat="1" applyFont="1" applyFill="1" applyBorder="1" applyAlignment="1">
      <alignment vertical="center" wrapText="1"/>
    </xf>
    <xf numFmtId="175" fontId="6" fillId="0" borderId="23" xfId="0" applyNumberFormat="1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vertical="center" wrapText="1"/>
    </xf>
    <xf numFmtId="175" fontId="9" fillId="0" borderId="35" xfId="0" applyNumberFormat="1" applyFont="1" applyFill="1" applyBorder="1" applyAlignment="1">
      <alignment vertical="center" wrapText="1"/>
    </xf>
    <xf numFmtId="179" fontId="9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5" fontId="28" fillId="0" borderId="18" xfId="0" applyNumberFormat="1" applyFont="1" applyBorder="1" applyAlignment="1">
      <alignment vertical="center" wrapText="1"/>
    </xf>
    <xf numFmtId="175" fontId="28" fillId="0" borderId="16" xfId="0" applyNumberFormat="1" applyFont="1" applyBorder="1" applyAlignment="1">
      <alignment vertical="center" wrapText="1"/>
    </xf>
    <xf numFmtId="175" fontId="28" fillId="0" borderId="12" xfId="0" applyNumberFormat="1" applyFont="1" applyBorder="1" applyAlignment="1">
      <alignment vertical="center" wrapText="1"/>
    </xf>
    <xf numFmtId="175" fontId="28" fillId="0" borderId="15" xfId="0" applyNumberFormat="1" applyFont="1" applyBorder="1" applyAlignment="1">
      <alignment vertical="center" wrapText="1"/>
    </xf>
    <xf numFmtId="175" fontId="27" fillId="0" borderId="14" xfId="0" applyNumberFormat="1" applyFont="1" applyBorder="1" applyAlignment="1">
      <alignment vertical="center" wrapText="1"/>
    </xf>
    <xf numFmtId="175" fontId="27" fillId="0" borderId="15" xfId="0" applyNumberFormat="1" applyFont="1" applyBorder="1" applyAlignment="1">
      <alignment vertical="center" wrapText="1"/>
    </xf>
    <xf numFmtId="175" fontId="28" fillId="0" borderId="14" xfId="0" applyNumberFormat="1" applyFont="1" applyBorder="1" applyAlignment="1">
      <alignment vertical="center" wrapText="1"/>
    </xf>
    <xf numFmtId="175" fontId="27" fillId="0" borderId="16" xfId="0" applyNumberFormat="1" applyFont="1" applyBorder="1" applyAlignment="1">
      <alignment vertical="center" wrapText="1"/>
    </xf>
    <xf numFmtId="175" fontId="28" fillId="0" borderId="16" xfId="0" applyNumberFormat="1" applyFont="1" applyFill="1" applyBorder="1" applyAlignment="1">
      <alignment vertical="center" wrapText="1"/>
    </xf>
    <xf numFmtId="175" fontId="28" fillId="0" borderId="12" xfId="0" applyNumberFormat="1" applyFont="1" applyFill="1" applyBorder="1" applyAlignment="1">
      <alignment vertical="center" wrapText="1"/>
    </xf>
    <xf numFmtId="175" fontId="28" fillId="0" borderId="15" xfId="0" applyNumberFormat="1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175" fontId="6" fillId="0" borderId="16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vertical="center" wrapText="1"/>
    </xf>
    <xf numFmtId="179" fontId="28" fillId="0" borderId="14" xfId="0" applyNumberFormat="1" applyFont="1" applyBorder="1" applyAlignment="1">
      <alignment vertical="center" wrapText="1"/>
    </xf>
    <xf numFmtId="175" fontId="9" fillId="0" borderId="16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9" fillId="0" borderId="15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179" fontId="28" fillId="0" borderId="14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vertical="center" wrapText="1"/>
    </xf>
    <xf numFmtId="175" fontId="28" fillId="0" borderId="14" xfId="43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Fill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5" fillId="0" borderId="37" xfId="0" applyFont="1" applyBorder="1" applyAlignment="1">
      <alignment vertical="top"/>
    </xf>
    <xf numFmtId="0" fontId="15" fillId="0" borderId="37" xfId="0" applyFont="1" applyBorder="1" applyAlignment="1">
      <alignment horizontal="center" vertical="top"/>
    </xf>
    <xf numFmtId="0" fontId="1" fillId="0" borderId="37" xfId="54" applyFont="1" applyBorder="1" applyAlignment="1" applyProtection="1">
      <alignment vertical="top" wrapText="1"/>
      <protection/>
    </xf>
    <xf numFmtId="172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175" fontId="86" fillId="0" borderId="0" xfId="0" applyNumberFormat="1" applyFont="1" applyBorder="1" applyAlignment="1">
      <alignment horizontal="right" vertical="top" wrapText="1"/>
    </xf>
    <xf numFmtId="175" fontId="39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20" fillId="0" borderId="15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172" fontId="0" fillId="0" borderId="38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4" fontId="8" fillId="0" borderId="35" xfId="4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vertical="top"/>
    </xf>
    <xf numFmtId="0" fontId="88" fillId="0" borderId="14" xfId="0" applyFont="1" applyBorder="1" applyAlignment="1">
      <alignment vertical="top"/>
    </xf>
    <xf numFmtId="0" fontId="87" fillId="0" borderId="19" xfId="0" applyFont="1" applyBorder="1" applyAlignment="1">
      <alignment vertical="top"/>
    </xf>
    <xf numFmtId="0" fontId="88" fillId="0" borderId="18" xfId="0" applyFont="1" applyBorder="1" applyAlignment="1">
      <alignment vertical="top" wrapText="1"/>
    </xf>
    <xf numFmtId="0" fontId="88" fillId="0" borderId="11" xfId="0" applyFont="1" applyBorder="1" applyAlignment="1">
      <alignment horizontal="center" vertical="top" wrapText="1"/>
    </xf>
    <xf numFmtId="175" fontId="89" fillId="0" borderId="0" xfId="0" applyNumberFormat="1" applyFont="1" applyBorder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left" vertical="top" wrapText="1"/>
    </xf>
    <xf numFmtId="175" fontId="6" fillId="0" borderId="16" xfId="0" applyNumberFormat="1" applyFont="1" applyFill="1" applyBorder="1" applyAlignment="1">
      <alignment horizontal="left" vertical="center" wrapText="1" indent="1"/>
    </xf>
    <xf numFmtId="179" fontId="9" fillId="0" borderId="15" xfId="0" applyNumberFormat="1" applyFont="1" applyFill="1" applyBorder="1" applyAlignment="1">
      <alignment vertical="center" wrapText="1"/>
    </xf>
    <xf numFmtId="175" fontId="28" fillId="0" borderId="21" xfId="0" applyNumberFormat="1" applyFont="1" applyBorder="1" applyAlignment="1">
      <alignment vertical="center" wrapText="1"/>
    </xf>
    <xf numFmtId="175" fontId="9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5" fillId="0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72" fontId="0" fillId="0" borderId="34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175" fontId="28" fillId="0" borderId="24" xfId="0" applyNumberFormat="1" applyFont="1" applyBorder="1" applyAlignment="1">
      <alignment vertical="center" wrapText="1"/>
    </xf>
    <xf numFmtId="175" fontId="28" fillId="0" borderId="20" xfId="0" applyNumberFormat="1" applyFont="1" applyBorder="1" applyAlignment="1">
      <alignment vertical="center" wrapText="1"/>
    </xf>
    <xf numFmtId="175" fontId="6" fillId="0" borderId="25" xfId="0" applyNumberFormat="1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5" fontId="9" fillId="0" borderId="21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2" fillId="0" borderId="18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wrapText="1"/>
    </xf>
    <xf numFmtId="0" fontId="12" fillId="0" borderId="22" xfId="0" applyFont="1" applyBorder="1" applyAlignment="1">
      <alignment vertical="center" wrapText="1"/>
    </xf>
    <xf numFmtId="175" fontId="12" fillId="0" borderId="25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27" fillId="0" borderId="16" xfId="0" applyNumberFormat="1" applyFont="1" applyFill="1" applyBorder="1" applyAlignment="1">
      <alignment vertical="center" wrapText="1"/>
    </xf>
    <xf numFmtId="175" fontId="35" fillId="0" borderId="33" xfId="0" applyNumberFormat="1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6" fillId="0" borderId="11" xfId="55" applyNumberFormat="1" applyFont="1" applyFill="1" applyBorder="1" applyAlignment="1">
      <alignment vertical="center" wrapText="1"/>
      <protection/>
    </xf>
    <xf numFmtId="49" fontId="0" fillId="0" borderId="3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2" fillId="0" borderId="0" xfId="0" applyFont="1" applyAlignment="1">
      <alignment horizontal="right" vertical="top"/>
    </xf>
    <xf numFmtId="0" fontId="43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46" fillId="0" borderId="11" xfId="0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179" fontId="2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75" fontId="7" fillId="0" borderId="42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20" fillId="0" borderId="43" xfId="0" applyFont="1" applyBorder="1" applyAlignment="1">
      <alignment horizontal="center" vertical="top"/>
    </xf>
    <xf numFmtId="172" fontId="7" fillId="0" borderId="44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173" fontId="7" fillId="0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75" fontId="7" fillId="0" borderId="3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20" fillId="0" borderId="35" xfId="0" applyFont="1" applyBorder="1" applyAlignment="1">
      <alignment vertical="top"/>
    </xf>
    <xf numFmtId="0" fontId="20" fillId="0" borderId="1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175" fontId="7" fillId="0" borderId="48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/>
    </xf>
    <xf numFmtId="175" fontId="7" fillId="0" borderId="47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 vertical="top" wrapText="1"/>
    </xf>
    <xf numFmtId="175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horizontal="left" vertical="top" wrapText="1"/>
    </xf>
    <xf numFmtId="173" fontId="32" fillId="0" borderId="0" xfId="0" applyNumberFormat="1" applyFont="1" applyFill="1" applyBorder="1" applyAlignment="1">
      <alignment/>
    </xf>
    <xf numFmtId="172" fontId="32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/>
    </xf>
    <xf numFmtId="173" fontId="91" fillId="0" borderId="0" xfId="0" applyNumberFormat="1" applyFont="1" applyFill="1" applyBorder="1" applyAlignment="1">
      <alignment/>
    </xf>
    <xf numFmtId="172" fontId="91" fillId="0" borderId="0" xfId="0" applyNumberFormat="1" applyFont="1" applyFill="1" applyBorder="1" applyAlignment="1">
      <alignment/>
    </xf>
    <xf numFmtId="175" fontId="91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32" fillId="0" borderId="42" xfId="0" applyNumberFormat="1" applyFont="1" applyFill="1" applyBorder="1" applyAlignment="1">
      <alignment/>
    </xf>
    <xf numFmtId="175" fontId="7" fillId="0" borderId="42" xfId="0" applyNumberFormat="1" applyFont="1" applyBorder="1" applyAlignment="1">
      <alignment/>
    </xf>
    <xf numFmtId="175" fontId="17" fillId="0" borderId="42" xfId="0" applyNumberFormat="1" applyFont="1" applyBorder="1" applyAlignment="1">
      <alignment/>
    </xf>
    <xf numFmtId="0" fontId="26" fillId="0" borderId="49" xfId="0" applyFont="1" applyBorder="1" applyAlignment="1">
      <alignment vertical="top" wrapText="1"/>
    </xf>
    <xf numFmtId="175" fontId="7" fillId="0" borderId="50" xfId="0" applyNumberFormat="1" applyFont="1" applyBorder="1" applyAlignment="1">
      <alignment/>
    </xf>
    <xf numFmtId="0" fontId="20" fillId="0" borderId="44" xfId="0" applyFont="1" applyFill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75" fontId="7" fillId="0" borderId="46" xfId="0" applyNumberFormat="1" applyFont="1" applyFill="1" applyBorder="1" applyAlignment="1">
      <alignment horizontal="left" vertical="top" wrapText="1"/>
    </xf>
    <xf numFmtId="0" fontId="20" fillId="0" borderId="46" xfId="0" applyFont="1" applyBorder="1" applyAlignment="1">
      <alignment vertical="center" wrapText="1"/>
    </xf>
    <xf numFmtId="175" fontId="7" fillId="0" borderId="46" xfId="0" applyNumberFormat="1" applyFont="1" applyBorder="1" applyAlignment="1">
      <alignment horizontal="left" vertical="top" wrapText="1"/>
    </xf>
    <xf numFmtId="175" fontId="17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Fill="1" applyBorder="1" applyAlignment="1">
      <alignment horizontal="left" vertical="top" wrapText="1"/>
    </xf>
    <xf numFmtId="175" fontId="7" fillId="0" borderId="47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/>
    </xf>
    <xf numFmtId="175" fontId="7" fillId="0" borderId="13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 wrapText="1"/>
    </xf>
    <xf numFmtId="0" fontId="97" fillId="0" borderId="0" xfId="0" applyFont="1" applyAlignment="1">
      <alignment wrapText="1"/>
    </xf>
    <xf numFmtId="0" fontId="97" fillId="0" borderId="51" xfId="0" applyFont="1" applyBorder="1" applyAlignment="1">
      <alignment horizontal="justify" wrapText="1"/>
    </xf>
    <xf numFmtId="0" fontId="4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6" fillId="0" borderId="11" xfId="55" applyNumberFormat="1" applyFont="1" applyFill="1" applyBorder="1" applyAlignment="1">
      <alignment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97" fillId="0" borderId="0" xfId="0" applyFont="1" applyAlignment="1">
      <alignment/>
    </xf>
    <xf numFmtId="0" fontId="17" fillId="0" borderId="49" xfId="0" applyFont="1" applyFill="1" applyBorder="1" applyAlignment="1">
      <alignment vertical="center" wrapText="1"/>
    </xf>
    <xf numFmtId="0" fontId="101" fillId="0" borderId="11" xfId="0" applyFont="1" applyBorder="1" applyAlignment="1">
      <alignment/>
    </xf>
    <xf numFmtId="0" fontId="99" fillId="0" borderId="11" xfId="0" applyFont="1" applyBorder="1" applyAlignment="1">
      <alignment/>
    </xf>
    <xf numFmtId="0" fontId="98" fillId="0" borderId="11" xfId="0" applyFont="1" applyBorder="1" applyAlignment="1">
      <alignment/>
    </xf>
    <xf numFmtId="0" fontId="96" fillId="0" borderId="11" xfId="0" applyFont="1" applyBorder="1" applyAlignment="1">
      <alignment/>
    </xf>
    <xf numFmtId="0" fontId="102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98" fillId="0" borderId="11" xfId="0" applyFont="1" applyBorder="1" applyAlignment="1">
      <alignment wrapText="1"/>
    </xf>
    <xf numFmtId="0" fontId="99" fillId="0" borderId="11" xfId="0" applyFont="1" applyBorder="1" applyAlignment="1">
      <alignment horizontal="justify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79" fontId="58" fillId="0" borderId="11" xfId="0" applyNumberFormat="1" applyFont="1" applyBorder="1" applyAlignment="1">
      <alignment horizontal="center" vertical="center" wrapText="1"/>
    </xf>
    <xf numFmtId="179" fontId="55" fillId="0" borderId="11" xfId="0" applyNumberFormat="1" applyFont="1" applyFill="1" applyBorder="1" applyAlignment="1">
      <alignment horizontal="center" vertical="center" wrapText="1"/>
    </xf>
    <xf numFmtId="0" fontId="98" fillId="0" borderId="51" xfId="0" applyFont="1" applyBorder="1" applyAlignment="1">
      <alignment horizontal="justify" vertical="top" wrapText="1"/>
    </xf>
    <xf numFmtId="0" fontId="98" fillId="0" borderId="51" xfId="0" applyFont="1" applyBorder="1" applyAlignment="1">
      <alignment horizontal="center" vertical="top" wrapText="1"/>
    </xf>
    <xf numFmtId="0" fontId="100" fillId="0" borderId="51" xfId="0" applyFont="1" applyBorder="1" applyAlignment="1">
      <alignment horizontal="justify" wrapText="1"/>
    </xf>
    <xf numFmtId="0" fontId="100" fillId="0" borderId="51" xfId="0" applyFont="1" applyBorder="1" applyAlignment="1">
      <alignment horizontal="center" wrapText="1"/>
    </xf>
    <xf numFmtId="0" fontId="98" fillId="0" borderId="51" xfId="0" applyFont="1" applyBorder="1" applyAlignment="1">
      <alignment horizontal="justify" wrapText="1"/>
    </xf>
    <xf numFmtId="0" fontId="98" fillId="0" borderId="51" xfId="0" applyFont="1" applyBorder="1" applyAlignment="1">
      <alignment horizontal="center" wrapText="1"/>
    </xf>
    <xf numFmtId="179" fontId="53" fillId="0" borderId="11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vertical="top"/>
    </xf>
    <xf numFmtId="175" fontId="7" fillId="0" borderId="44" xfId="0" applyNumberFormat="1" applyFont="1" applyBorder="1" applyAlignment="1">
      <alignment/>
    </xf>
    <xf numFmtId="49" fontId="8" fillId="0" borderId="37" xfId="0" applyNumberFormat="1" applyFont="1" applyFill="1" applyBorder="1" applyAlignment="1">
      <alignment horizontal="center" vertical="top"/>
    </xf>
    <xf numFmtId="0" fontId="53" fillId="0" borderId="52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175" fontId="32" fillId="0" borderId="53" xfId="0" applyNumberFormat="1" applyFont="1" applyBorder="1" applyAlignment="1">
      <alignment/>
    </xf>
    <xf numFmtId="172" fontId="32" fillId="0" borderId="54" xfId="0" applyNumberFormat="1" applyFont="1" applyBorder="1" applyAlignment="1">
      <alignment/>
    </xf>
    <xf numFmtId="175" fontId="32" fillId="0" borderId="55" xfId="0" applyNumberFormat="1" applyFont="1" applyBorder="1" applyAlignment="1">
      <alignment/>
    </xf>
    <xf numFmtId="175" fontId="32" fillId="0" borderId="37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center" vertical="top"/>
    </xf>
    <xf numFmtId="0" fontId="20" fillId="0" borderId="11" xfId="0" applyFont="1" applyFill="1" applyBorder="1" applyAlignment="1">
      <alignment vertical="top" wrapText="1"/>
    </xf>
    <xf numFmtId="175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20" fillId="0" borderId="11" xfId="0" applyFont="1" applyBorder="1" applyAlignment="1">
      <alignment vertical="top" wrapText="1"/>
    </xf>
    <xf numFmtId="175" fontId="32" fillId="0" borderId="11" xfId="0" applyNumberFormat="1" applyFont="1" applyBorder="1" applyAlignment="1">
      <alignment/>
    </xf>
    <xf numFmtId="0" fontId="23" fillId="0" borderId="35" xfId="0" applyFont="1" applyBorder="1" applyAlignment="1">
      <alignment vertical="top"/>
    </xf>
    <xf numFmtId="0" fontId="20" fillId="0" borderId="56" xfId="0" applyFont="1" applyBorder="1" applyAlignment="1">
      <alignment vertical="top"/>
    </xf>
    <xf numFmtId="173" fontId="7" fillId="0" borderId="56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5" fontId="7" fillId="0" borderId="56" xfId="0" applyNumberFormat="1" applyFont="1" applyFill="1" applyBorder="1" applyAlignment="1">
      <alignment/>
    </xf>
    <xf numFmtId="175" fontId="7" fillId="0" borderId="35" xfId="0" applyNumberFormat="1" applyFont="1" applyFill="1" applyBorder="1" applyAlignment="1">
      <alignment/>
    </xf>
    <xf numFmtId="0" fontId="26" fillId="0" borderId="11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175" fontId="28" fillId="0" borderId="20" xfId="0" applyNumberFormat="1" applyFont="1" applyFill="1" applyBorder="1" applyAlignment="1">
      <alignment vertical="center" wrapText="1"/>
    </xf>
    <xf numFmtId="175" fontId="28" fillId="0" borderId="14" xfId="43" applyNumberFormat="1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5" fontId="28" fillId="0" borderId="14" xfId="0" applyNumberFormat="1" applyFont="1" applyFill="1" applyBorder="1" applyAlignment="1">
      <alignment vertical="center" wrapText="1"/>
    </xf>
    <xf numFmtId="175" fontId="0" fillId="0" borderId="0" xfId="0" applyNumberFormat="1" applyFont="1" applyFill="1" applyAlignment="1">
      <alignment/>
    </xf>
    <xf numFmtId="0" fontId="7" fillId="0" borderId="49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175" fontId="28" fillId="0" borderId="18" xfId="0" applyNumberFormat="1" applyFont="1" applyFill="1" applyBorder="1" applyAlignment="1">
      <alignment vertical="center" wrapText="1"/>
    </xf>
    <xf numFmtId="175" fontId="9" fillId="0" borderId="38" xfId="0" applyNumberFormat="1" applyFont="1" applyFill="1" applyBorder="1" applyAlignment="1">
      <alignment vertical="center" wrapText="1"/>
    </xf>
    <xf numFmtId="175" fontId="89" fillId="0" borderId="0" xfId="0" applyNumberFormat="1" applyFont="1" applyFill="1" applyBorder="1" applyAlignment="1">
      <alignment horizontal="right" vertical="top" wrapText="1"/>
    </xf>
    <xf numFmtId="175" fontId="28" fillId="0" borderId="0" xfId="0" applyNumberFormat="1" applyFont="1" applyFill="1" applyBorder="1" applyAlignment="1">
      <alignment horizontal="right" vertical="top" wrapText="1"/>
    </xf>
    <xf numFmtId="175" fontId="94" fillId="0" borderId="0" xfId="0" applyNumberFormat="1" applyFont="1" applyFill="1" applyBorder="1" applyAlignment="1">
      <alignment horizontal="right" vertical="top" wrapText="1"/>
    </xf>
    <xf numFmtId="175" fontId="86" fillId="0" borderId="0" xfId="0" applyNumberFormat="1" applyFont="1" applyFill="1" applyBorder="1" applyAlignment="1">
      <alignment horizontal="right" vertical="top" wrapText="1"/>
    </xf>
    <xf numFmtId="0" fontId="30" fillId="0" borderId="30" xfId="0" applyFont="1" applyFill="1" applyBorder="1" applyAlignment="1">
      <alignment horizontal="center" vertical="top" wrapText="1"/>
    </xf>
    <xf numFmtId="172" fontId="0" fillId="0" borderId="0" xfId="0" applyNumberFormat="1" applyFont="1" applyFill="1" applyAlignment="1">
      <alignment/>
    </xf>
    <xf numFmtId="0" fontId="21" fillId="0" borderId="0" xfId="0" applyFont="1" applyAlignment="1">
      <alignment horizontal="justify"/>
    </xf>
    <xf numFmtId="0" fontId="63" fillId="0" borderId="0" xfId="43" applyFont="1" applyAlignment="1" applyProtection="1">
      <alignment horizontal="center" vertical="top" wrapText="1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175" fontId="0" fillId="0" borderId="0" xfId="0" applyNumberFormat="1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93" fillId="0" borderId="0" xfId="0" applyFont="1" applyAlignment="1">
      <alignment horizontal="right"/>
    </xf>
    <xf numFmtId="0" fontId="41" fillId="0" borderId="0" xfId="0" applyFont="1" applyAlignment="1">
      <alignment horizontal="center" vertical="top" wrapText="1"/>
    </xf>
    <xf numFmtId="0" fontId="85" fillId="0" borderId="30" xfId="0" applyFont="1" applyFill="1" applyBorder="1" applyAlignment="1">
      <alignment horizontal="center" vertical="top" wrapText="1"/>
    </xf>
    <xf numFmtId="0" fontId="85" fillId="0" borderId="46" xfId="0" applyFont="1" applyFill="1" applyBorder="1" applyAlignment="1">
      <alignment horizontal="center" vertical="top" wrapText="1"/>
    </xf>
    <xf numFmtId="0" fontId="85" fillId="0" borderId="47" xfId="0" applyFont="1" applyFill="1" applyBorder="1" applyAlignment="1">
      <alignment horizontal="center" vertical="top" wrapText="1"/>
    </xf>
    <xf numFmtId="0" fontId="85" fillId="24" borderId="30" xfId="0" applyFont="1" applyFill="1" applyBorder="1" applyAlignment="1">
      <alignment horizontal="center" vertical="top" wrapText="1"/>
    </xf>
    <xf numFmtId="0" fontId="85" fillId="24" borderId="46" xfId="0" applyFont="1" applyFill="1" applyBorder="1" applyAlignment="1">
      <alignment horizontal="center" vertical="top" wrapText="1"/>
    </xf>
    <xf numFmtId="0" fontId="85" fillId="24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5" fillId="0" borderId="29" xfId="0" applyFont="1" applyFill="1" applyBorder="1" applyAlignment="1">
      <alignment horizontal="center" vertical="top" wrapText="1"/>
    </xf>
    <xf numFmtId="0" fontId="85" fillId="0" borderId="5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/>
    </xf>
    <xf numFmtId="0" fontId="85" fillId="0" borderId="3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6;&#1082;&#1091;&#1084;&#1077;&#1085;&#1090;&#1099;\&#1056;&#1077;&#1096;&#1077;&#1085;&#1080;&#1103;\&#1056;&#1077;&#1096;&#1077;&#1085;&#1080;&#1077;%20&#1073;&#1102;&#1076;&#1078;&#1077;&#1090;%202011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2" ySplit="10" topLeftCell="C35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34" sqref="A34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601" t="s">
        <v>115</v>
      </c>
      <c r="E1" s="601"/>
      <c r="F1" s="23"/>
    </row>
    <row r="2" spans="4:6" ht="12.75" customHeight="1">
      <c r="D2" s="24" t="s">
        <v>275</v>
      </c>
      <c r="E2" s="24"/>
      <c r="F2" s="24"/>
    </row>
    <row r="3" spans="4:6" ht="15.75" customHeight="1">
      <c r="D3" s="21" t="s">
        <v>485</v>
      </c>
      <c r="E3" s="21"/>
      <c r="F3" s="24"/>
    </row>
    <row r="4" spans="4:7" ht="15" customHeight="1">
      <c r="D4" s="601" t="s">
        <v>486</v>
      </c>
      <c r="E4" s="601"/>
      <c r="F4" s="601"/>
      <c r="G4" s="601"/>
    </row>
    <row r="5" spans="2:6" ht="15">
      <c r="B5" s="73"/>
      <c r="C5" s="73"/>
      <c r="D5" s="73"/>
      <c r="E5" s="73"/>
      <c r="F5" s="74"/>
    </row>
    <row r="6" spans="1:6" ht="15.75">
      <c r="A6" s="602" t="s">
        <v>386</v>
      </c>
      <c r="B6" s="602"/>
      <c r="C6" s="602"/>
      <c r="D6" s="602"/>
      <c r="E6" s="602"/>
      <c r="F6" s="602"/>
    </row>
    <row r="7" spans="5:6" ht="12.75">
      <c r="E7" s="74"/>
      <c r="F7" s="88" t="s">
        <v>607</v>
      </c>
    </row>
    <row r="8" spans="1:6" s="321" customFormat="1" ht="12.75" customHeight="1">
      <c r="A8" s="603" t="s">
        <v>278</v>
      </c>
      <c r="B8" s="603" t="s">
        <v>116</v>
      </c>
      <c r="C8" s="603" t="s">
        <v>543</v>
      </c>
      <c r="D8" s="605" t="s">
        <v>544</v>
      </c>
      <c r="E8" s="606"/>
      <c r="F8" s="603" t="s">
        <v>276</v>
      </c>
    </row>
    <row r="9" spans="1:6" s="321" customFormat="1" ht="27.75" customHeight="1">
      <c r="A9" s="604"/>
      <c r="B9" s="604"/>
      <c r="C9" s="604"/>
      <c r="D9" s="322" t="s">
        <v>72</v>
      </c>
      <c r="E9" s="322" t="s">
        <v>117</v>
      </c>
      <c r="F9" s="604"/>
    </row>
    <row r="10" spans="1:6" ht="12.75" customHeight="1">
      <c r="A10" s="75">
        <v>1</v>
      </c>
      <c r="B10" s="76">
        <v>2</v>
      </c>
      <c r="C10" s="75">
        <v>3</v>
      </c>
      <c r="D10" s="75">
        <v>4</v>
      </c>
      <c r="E10" s="75">
        <v>5</v>
      </c>
      <c r="F10" s="75" t="s">
        <v>118</v>
      </c>
    </row>
    <row r="11" spans="1:7" ht="12.75">
      <c r="A11" s="153">
        <v>10000000</v>
      </c>
      <c r="B11" s="323" t="s">
        <v>119</v>
      </c>
      <c r="C11" s="143">
        <f>C12+C20+C25+C28+C32</f>
        <v>6298.439</v>
      </c>
      <c r="D11" s="143">
        <f>+D18</f>
        <v>53.889</v>
      </c>
      <c r="E11" s="143" t="s">
        <v>120</v>
      </c>
      <c r="F11" s="143">
        <f>C11+D11</f>
        <v>6352.328</v>
      </c>
      <c r="G11" s="152"/>
    </row>
    <row r="12" spans="1:7" ht="24">
      <c r="A12" s="318">
        <v>11000000</v>
      </c>
      <c r="B12" s="324" t="s">
        <v>197</v>
      </c>
      <c r="C12" s="144">
        <f>C13+C16</f>
        <v>4268.139</v>
      </c>
      <c r="D12" s="144" t="s">
        <v>120</v>
      </c>
      <c r="E12" s="144" t="s">
        <v>120</v>
      </c>
      <c r="F12" s="144">
        <f>C12</f>
        <v>4268.139</v>
      </c>
      <c r="G12" s="152"/>
    </row>
    <row r="13" spans="1:7" ht="15.75">
      <c r="A13" s="415">
        <v>11010000</v>
      </c>
      <c r="B13" s="530" t="s">
        <v>106</v>
      </c>
      <c r="C13" s="145">
        <v>4259.139</v>
      </c>
      <c r="D13" s="146" t="s">
        <v>120</v>
      </c>
      <c r="E13" s="146" t="s">
        <v>120</v>
      </c>
      <c r="F13" s="145">
        <f>C13</f>
        <v>4259.139</v>
      </c>
      <c r="G13" s="152"/>
    </row>
    <row r="14" spans="1:7" ht="15.75">
      <c r="A14" s="415">
        <v>11010100</v>
      </c>
      <c r="B14" s="530" t="s">
        <v>198</v>
      </c>
      <c r="C14" s="145">
        <v>4209.139</v>
      </c>
      <c r="D14" s="146"/>
      <c r="E14" s="146"/>
      <c r="F14" s="145">
        <v>4209.139</v>
      </c>
      <c r="G14" s="152"/>
    </row>
    <row r="15" spans="1:7" ht="33.75" customHeight="1">
      <c r="A15" s="531">
        <v>11011600</v>
      </c>
      <c r="B15" s="532" t="s">
        <v>107</v>
      </c>
      <c r="C15" s="145">
        <v>50</v>
      </c>
      <c r="D15" s="146" t="s">
        <v>120</v>
      </c>
      <c r="E15" s="146" t="s">
        <v>120</v>
      </c>
      <c r="F15" s="145">
        <f>C15</f>
        <v>50</v>
      </c>
      <c r="G15" s="152"/>
    </row>
    <row r="16" spans="1:7" ht="12.75">
      <c r="A16" s="415">
        <v>11020000</v>
      </c>
      <c r="B16" s="533" t="s">
        <v>121</v>
      </c>
      <c r="C16" s="145">
        <f>C17</f>
        <v>9</v>
      </c>
      <c r="D16" s="146" t="s">
        <v>120</v>
      </c>
      <c r="E16" s="534" t="s">
        <v>120</v>
      </c>
      <c r="F16" s="145">
        <f>C16</f>
        <v>9</v>
      </c>
      <c r="G16" s="152"/>
    </row>
    <row r="17" spans="1:7" ht="31.5">
      <c r="A17" s="415">
        <v>11020200</v>
      </c>
      <c r="B17" s="535" t="s">
        <v>199</v>
      </c>
      <c r="C17" s="145">
        <v>9</v>
      </c>
      <c r="D17" s="146" t="s">
        <v>120</v>
      </c>
      <c r="E17" s="146" t="s">
        <v>120</v>
      </c>
      <c r="F17" s="145">
        <f>C17</f>
        <v>9</v>
      </c>
      <c r="G17" s="152"/>
    </row>
    <row r="18" spans="1:7" ht="12.75">
      <c r="A18" s="318">
        <v>12000000</v>
      </c>
      <c r="B18" s="324" t="s">
        <v>546</v>
      </c>
      <c r="C18" s="144"/>
      <c r="D18" s="144">
        <f>D19</f>
        <v>53.889</v>
      </c>
      <c r="E18" s="148" t="s">
        <v>120</v>
      </c>
      <c r="F18" s="144">
        <f>+D18</f>
        <v>53.889</v>
      </c>
      <c r="G18" s="152"/>
    </row>
    <row r="19" spans="1:7" ht="24">
      <c r="A19" s="319">
        <v>12020000</v>
      </c>
      <c r="B19" s="325" t="s">
        <v>404</v>
      </c>
      <c r="C19" s="146" t="s">
        <v>120</v>
      </c>
      <c r="D19" s="145">
        <v>53.889</v>
      </c>
      <c r="E19" s="145" t="s">
        <v>120</v>
      </c>
      <c r="F19" s="145">
        <f>D19</f>
        <v>53.889</v>
      </c>
      <c r="G19" s="152"/>
    </row>
    <row r="20" spans="1:7" s="77" customFormat="1" ht="24">
      <c r="A20" s="414">
        <v>13000000</v>
      </c>
      <c r="B20" s="324" t="s">
        <v>200</v>
      </c>
      <c r="C20" s="144">
        <f>C21+C23</f>
        <v>1900</v>
      </c>
      <c r="D20" s="148" t="s">
        <v>120</v>
      </c>
      <c r="E20" s="148" t="s">
        <v>120</v>
      </c>
      <c r="F20" s="144">
        <f>C20</f>
        <v>1900</v>
      </c>
      <c r="G20" s="152"/>
    </row>
    <row r="21" spans="1:7" s="77" customFormat="1" ht="12.75">
      <c r="A21" s="415">
        <v>13010000</v>
      </c>
      <c r="B21" s="416" t="s">
        <v>201</v>
      </c>
      <c r="C21" s="145">
        <v>100</v>
      </c>
      <c r="D21" s="146" t="s">
        <v>120</v>
      </c>
      <c r="E21" s="146" t="s">
        <v>120</v>
      </c>
      <c r="F21" s="145">
        <f>+C21</f>
        <v>100</v>
      </c>
      <c r="G21" s="152"/>
    </row>
    <row r="22" spans="1:7" s="77" customFormat="1" ht="36">
      <c r="A22" s="415">
        <v>13010200</v>
      </c>
      <c r="B22" s="536" t="s">
        <v>204</v>
      </c>
      <c r="C22" s="145">
        <v>100</v>
      </c>
      <c r="D22" s="146" t="s">
        <v>120</v>
      </c>
      <c r="E22" s="146" t="s">
        <v>120</v>
      </c>
      <c r="F22" s="145">
        <f>+C22</f>
        <v>100</v>
      </c>
      <c r="G22" s="152"/>
    </row>
    <row r="23" spans="1:7" ht="12.75">
      <c r="A23" s="521">
        <v>13050000</v>
      </c>
      <c r="B23" s="522" t="s">
        <v>487</v>
      </c>
      <c r="C23" s="523">
        <v>1800</v>
      </c>
      <c r="D23" s="524" t="s">
        <v>120</v>
      </c>
      <c r="E23" s="524" t="s">
        <v>120</v>
      </c>
      <c r="F23" s="523">
        <f>+C23</f>
        <v>1800</v>
      </c>
      <c r="G23" s="152"/>
    </row>
    <row r="24" spans="1:7" ht="24" hidden="1" outlineLevel="1">
      <c r="A24" s="415">
        <v>14060300</v>
      </c>
      <c r="B24" s="325" t="s">
        <v>482</v>
      </c>
      <c r="C24" s="145"/>
      <c r="D24" s="146" t="s">
        <v>120</v>
      </c>
      <c r="E24" s="146" t="s">
        <v>120</v>
      </c>
      <c r="F24" s="145">
        <f>C24</f>
        <v>0</v>
      </c>
      <c r="G24" s="152"/>
    </row>
    <row r="25" spans="1:7" ht="12.75" outlineLevel="1">
      <c r="A25" s="438">
        <v>16000000</v>
      </c>
      <c r="B25" s="528" t="s">
        <v>205</v>
      </c>
      <c r="C25" s="440">
        <f>C26</f>
        <v>2.5</v>
      </c>
      <c r="D25" s="146" t="s">
        <v>120</v>
      </c>
      <c r="E25" s="534" t="s">
        <v>120</v>
      </c>
      <c r="F25" s="145">
        <f>C25</f>
        <v>2.5</v>
      </c>
      <c r="G25" s="152"/>
    </row>
    <row r="26" spans="1:7" ht="12.75" outlineLevel="1">
      <c r="A26" s="438">
        <v>16010000</v>
      </c>
      <c r="B26" s="528" t="s">
        <v>206</v>
      </c>
      <c r="C26" s="440">
        <f>C27</f>
        <v>2.5</v>
      </c>
      <c r="D26" s="439" t="s">
        <v>120</v>
      </c>
      <c r="E26" s="439" t="s">
        <v>120</v>
      </c>
      <c r="F26" s="440">
        <f>F27</f>
        <v>2.5</v>
      </c>
      <c r="G26" s="152"/>
    </row>
    <row r="27" spans="1:7" ht="12.75" outlineLevel="1">
      <c r="A27" s="415">
        <v>16012100</v>
      </c>
      <c r="B27" s="326" t="s">
        <v>488</v>
      </c>
      <c r="C27" s="145">
        <v>2.5</v>
      </c>
      <c r="D27" s="146" t="s">
        <v>120</v>
      </c>
      <c r="E27" s="146" t="s">
        <v>120</v>
      </c>
      <c r="F27" s="145">
        <f>C27</f>
        <v>2.5</v>
      </c>
      <c r="G27" s="152"/>
    </row>
    <row r="28" spans="1:7" ht="12.75" outlineLevel="1">
      <c r="A28" s="520">
        <v>18000000</v>
      </c>
      <c r="B28" s="537" t="s">
        <v>212</v>
      </c>
      <c r="C28" s="440">
        <f>C30+C29</f>
        <v>115.8</v>
      </c>
      <c r="D28" s="440">
        <f>D31</f>
        <v>700</v>
      </c>
      <c r="E28" s="440">
        <f>E31</f>
        <v>700</v>
      </c>
      <c r="F28" s="440">
        <f>F30+D28+F29</f>
        <v>815.8</v>
      </c>
      <c r="G28" s="152"/>
    </row>
    <row r="29" spans="1:7" ht="24" outlineLevel="1">
      <c r="A29" s="542">
        <v>18020200</v>
      </c>
      <c r="B29" s="541" t="s">
        <v>77</v>
      </c>
      <c r="C29" s="145">
        <v>10</v>
      </c>
      <c r="D29" s="439"/>
      <c r="E29" s="439"/>
      <c r="F29" s="145">
        <v>10</v>
      </c>
      <c r="G29" s="152"/>
    </row>
    <row r="30" spans="1:7" ht="12.75" outlineLevel="1">
      <c r="A30" s="415">
        <v>18040000</v>
      </c>
      <c r="B30" s="529" t="s">
        <v>213</v>
      </c>
      <c r="C30" s="145">
        <v>105.8</v>
      </c>
      <c r="D30" s="146"/>
      <c r="E30" s="146"/>
      <c r="F30" s="145">
        <v>105.8</v>
      </c>
      <c r="G30" s="152"/>
    </row>
    <row r="31" spans="1:7" ht="12.75" outlineLevel="1">
      <c r="A31" s="319">
        <v>18050000</v>
      </c>
      <c r="B31" s="326" t="s">
        <v>210</v>
      </c>
      <c r="C31" s="145"/>
      <c r="D31" s="523">
        <v>700</v>
      </c>
      <c r="E31" s="523">
        <v>700</v>
      </c>
      <c r="F31" s="145">
        <f>D31</f>
        <v>700</v>
      </c>
      <c r="G31" s="152"/>
    </row>
    <row r="32" spans="1:7" ht="12.75" outlineLevel="1">
      <c r="A32" s="153">
        <v>19000000</v>
      </c>
      <c r="B32" s="528" t="s">
        <v>207</v>
      </c>
      <c r="C32" s="440">
        <f>C33</f>
        <v>12</v>
      </c>
      <c r="D32" s="523">
        <f>D34</f>
        <v>24</v>
      </c>
      <c r="E32" s="523"/>
      <c r="F32" s="440">
        <f>F33+F34</f>
        <v>36</v>
      </c>
      <c r="G32" s="152"/>
    </row>
    <row r="33" spans="1:7" ht="24" outlineLevel="1">
      <c r="A33" s="544" t="s">
        <v>78</v>
      </c>
      <c r="B33" s="543" t="s">
        <v>79</v>
      </c>
      <c r="C33" s="145">
        <v>12</v>
      </c>
      <c r="D33" s="146" t="s">
        <v>120</v>
      </c>
      <c r="E33" s="146" t="s">
        <v>120</v>
      </c>
      <c r="F33" s="145">
        <v>12</v>
      </c>
      <c r="G33" s="152"/>
    </row>
    <row r="34" spans="1:7" ht="24" outlineLevel="1">
      <c r="A34" s="319">
        <v>19010100</v>
      </c>
      <c r="B34" s="536" t="s">
        <v>74</v>
      </c>
      <c r="C34" s="145" t="s">
        <v>120</v>
      </c>
      <c r="D34" s="145">
        <v>24</v>
      </c>
      <c r="E34" s="146" t="s">
        <v>120</v>
      </c>
      <c r="F34" s="145">
        <f>D34</f>
        <v>24</v>
      </c>
      <c r="G34" s="152"/>
    </row>
    <row r="35" spans="1:7" ht="12.75">
      <c r="A35" s="153">
        <v>20000000</v>
      </c>
      <c r="B35" s="323" t="s">
        <v>132</v>
      </c>
      <c r="C35" s="143">
        <f>C36+C40</f>
        <v>233</v>
      </c>
      <c r="D35" s="143"/>
      <c r="E35" s="143"/>
      <c r="F35" s="143">
        <f>C35+D35</f>
        <v>233</v>
      </c>
      <c r="G35" s="152"/>
    </row>
    <row r="36" spans="1:7" ht="12.75">
      <c r="A36" s="318">
        <v>21000000</v>
      </c>
      <c r="B36" s="327" t="s">
        <v>547</v>
      </c>
      <c r="C36" s="144">
        <f>C37+C39</f>
        <v>13</v>
      </c>
      <c r="D36" s="144"/>
      <c r="E36" s="144"/>
      <c r="F36" s="144">
        <f>C36+D36</f>
        <v>13</v>
      </c>
      <c r="G36" s="152"/>
    </row>
    <row r="37" spans="1:7" ht="12.75">
      <c r="A37" s="415">
        <v>21081100</v>
      </c>
      <c r="B37" s="326" t="s">
        <v>137</v>
      </c>
      <c r="C37" s="538">
        <v>13</v>
      </c>
      <c r="D37" s="146" t="s">
        <v>120</v>
      </c>
      <c r="E37" s="146" t="s">
        <v>120</v>
      </c>
      <c r="F37" s="145">
        <f>C37</f>
        <v>13</v>
      </c>
      <c r="G37" s="152"/>
    </row>
    <row r="38" spans="1:7" ht="36" hidden="1" outlineLevel="1">
      <c r="A38" s="415">
        <v>21010800</v>
      </c>
      <c r="B38" s="325" t="s">
        <v>564</v>
      </c>
      <c r="C38" s="539" t="s">
        <v>120</v>
      </c>
      <c r="D38" s="145"/>
      <c r="E38" s="145">
        <f>D38</f>
        <v>0</v>
      </c>
      <c r="F38" s="144">
        <f>D38</f>
        <v>0</v>
      </c>
      <c r="G38" s="152"/>
    </row>
    <row r="39" spans="1:7" ht="24" hidden="1" outlineLevel="1" collapsed="1">
      <c r="A39" s="415">
        <v>21050000</v>
      </c>
      <c r="B39" s="326" t="s">
        <v>565</v>
      </c>
      <c r="C39" s="145"/>
      <c r="D39" s="145" t="s">
        <v>120</v>
      </c>
      <c r="E39" s="145" t="s">
        <v>120</v>
      </c>
      <c r="F39" s="145">
        <f>C39</f>
        <v>0</v>
      </c>
      <c r="G39" s="152"/>
    </row>
    <row r="40" spans="1:7" ht="24" collapsed="1">
      <c r="A40" s="318">
        <v>22000000</v>
      </c>
      <c r="B40" s="536" t="s">
        <v>208</v>
      </c>
      <c r="C40" s="144">
        <f>C41+C43</f>
        <v>220</v>
      </c>
      <c r="D40" s="148" t="s">
        <v>120</v>
      </c>
      <c r="E40" s="148" t="s">
        <v>120</v>
      </c>
      <c r="F40" s="144">
        <f>C40</f>
        <v>220</v>
      </c>
      <c r="G40" s="152"/>
    </row>
    <row r="41" spans="1:7" ht="36">
      <c r="A41" s="415">
        <v>22080400</v>
      </c>
      <c r="B41" s="325" t="s">
        <v>209</v>
      </c>
      <c r="C41" s="145">
        <v>20</v>
      </c>
      <c r="D41" s="146" t="s">
        <v>120</v>
      </c>
      <c r="E41" s="146" t="s">
        <v>120</v>
      </c>
      <c r="F41" s="145">
        <f>C41</f>
        <v>20</v>
      </c>
      <c r="G41" s="152"/>
    </row>
    <row r="42" spans="1:7" ht="12.75" hidden="1" outlineLevel="1">
      <c r="A42" s="319">
        <v>22090000</v>
      </c>
      <c r="B42" s="326" t="s">
        <v>135</v>
      </c>
      <c r="C42" s="145"/>
      <c r="D42" s="146" t="s">
        <v>120</v>
      </c>
      <c r="E42" s="146" t="s">
        <v>120</v>
      </c>
      <c r="F42" s="145"/>
      <c r="G42" s="152"/>
    </row>
    <row r="43" spans="1:7" ht="12.75" collapsed="1">
      <c r="A43" s="319">
        <v>22090000</v>
      </c>
      <c r="B43" s="326" t="s">
        <v>135</v>
      </c>
      <c r="C43" s="145">
        <v>200</v>
      </c>
      <c r="D43" s="146" t="s">
        <v>120</v>
      </c>
      <c r="E43" s="146" t="s">
        <v>120</v>
      </c>
      <c r="F43" s="144">
        <f>C43</f>
        <v>200</v>
      </c>
      <c r="G43" s="152"/>
    </row>
    <row r="44" spans="1:7" ht="60" hidden="1" outlineLevel="1">
      <c r="A44" s="319">
        <v>23020000</v>
      </c>
      <c r="B44" s="326" t="s">
        <v>136</v>
      </c>
      <c r="C44" s="146" t="s">
        <v>120</v>
      </c>
      <c r="D44" s="145"/>
      <c r="E44" s="146" t="s">
        <v>120</v>
      </c>
      <c r="F44" s="145">
        <f>D44</f>
        <v>0</v>
      </c>
      <c r="G44" s="152"/>
    </row>
    <row r="45" spans="1:7" ht="12.75" hidden="1" outlineLevel="1">
      <c r="A45" s="319">
        <v>23030000</v>
      </c>
      <c r="B45" s="326" t="s">
        <v>137</v>
      </c>
      <c r="C45" s="145"/>
      <c r="D45" s="146" t="s">
        <v>120</v>
      </c>
      <c r="E45" s="146" t="s">
        <v>120</v>
      </c>
      <c r="F45" s="145"/>
      <c r="G45" s="152"/>
    </row>
    <row r="46" spans="1:7" ht="24" hidden="1" outlineLevel="1">
      <c r="A46" s="319">
        <v>24110700</v>
      </c>
      <c r="B46" s="325" t="s">
        <v>168</v>
      </c>
      <c r="C46" s="145"/>
      <c r="D46" s="146" t="s">
        <v>120</v>
      </c>
      <c r="E46" s="146" t="s">
        <v>120</v>
      </c>
      <c r="F46" s="145"/>
      <c r="G46" s="152"/>
    </row>
    <row r="47" spans="1:7" ht="12.75" collapsed="1">
      <c r="A47" s="318">
        <v>25000000</v>
      </c>
      <c r="B47" s="324" t="s">
        <v>553</v>
      </c>
      <c r="C47" s="148" t="s">
        <v>120</v>
      </c>
      <c r="D47" s="149">
        <v>380.8</v>
      </c>
      <c r="E47" s="540"/>
      <c r="F47" s="149">
        <f>D47</f>
        <v>380.8</v>
      </c>
      <c r="G47" s="152"/>
    </row>
    <row r="48" spans="1:7" ht="12.75">
      <c r="A48" s="318">
        <v>30000000</v>
      </c>
      <c r="B48" s="527" t="s">
        <v>214</v>
      </c>
      <c r="C48" s="148"/>
      <c r="D48" s="149">
        <f>D49</f>
        <v>347.014</v>
      </c>
      <c r="E48" s="547">
        <f>E49</f>
        <v>347.014</v>
      </c>
      <c r="F48" s="149">
        <f>F49</f>
        <v>347.014</v>
      </c>
      <c r="G48" s="152"/>
    </row>
    <row r="49" spans="1:7" ht="14.25" customHeight="1" outlineLevel="1">
      <c r="A49" s="320">
        <v>33000000</v>
      </c>
      <c r="B49" s="528" t="s">
        <v>211</v>
      </c>
      <c r="C49" s="151" t="s">
        <v>120</v>
      </c>
      <c r="D49" s="145">
        <f>D50</f>
        <v>347.014</v>
      </c>
      <c r="E49" s="145">
        <f>D49</f>
        <v>347.014</v>
      </c>
      <c r="F49" s="145">
        <f>D49</f>
        <v>347.014</v>
      </c>
      <c r="G49" s="152"/>
    </row>
    <row r="50" spans="1:7" ht="72.75" customHeight="1" outlineLevel="1">
      <c r="A50" s="546">
        <v>33010100</v>
      </c>
      <c r="B50" s="545" t="s">
        <v>80</v>
      </c>
      <c r="C50" s="150" t="s">
        <v>120</v>
      </c>
      <c r="D50" s="145">
        <v>347.014</v>
      </c>
      <c r="E50" s="145">
        <f>D50</f>
        <v>347.014</v>
      </c>
      <c r="F50" s="145">
        <f>D50</f>
        <v>347.014</v>
      </c>
      <c r="G50" s="152"/>
    </row>
    <row r="51" spans="1:7" ht="12.75">
      <c r="A51" s="319"/>
      <c r="B51" s="328" t="s">
        <v>170</v>
      </c>
      <c r="C51" s="143">
        <f>C11+C35</f>
        <v>6531.439</v>
      </c>
      <c r="D51" s="143">
        <f>D11+D31+D32+D47+D48</f>
        <v>1505.703</v>
      </c>
      <c r="E51" s="143">
        <f>E28+E48</f>
        <v>1047.0140000000001</v>
      </c>
      <c r="F51" s="143">
        <f>C51+D51</f>
        <v>8037.142</v>
      </c>
      <c r="G51" s="152"/>
    </row>
    <row r="54" spans="2:5" ht="12.75">
      <c r="B54" s="441" t="s">
        <v>489</v>
      </c>
      <c r="E54" s="22" t="s">
        <v>490</v>
      </c>
    </row>
    <row r="58" spans="1:2" ht="12.75">
      <c r="A58" s="445"/>
      <c r="B58" s="446"/>
    </row>
    <row r="59" spans="1:2" ht="12.75">
      <c r="A59" s="447"/>
      <c r="B59" s="448"/>
    </row>
  </sheetData>
  <sheetProtection/>
  <mergeCells count="8">
    <mergeCell ref="D1:E1"/>
    <mergeCell ref="A6:F6"/>
    <mergeCell ref="F8:F9"/>
    <mergeCell ref="A8:A9"/>
    <mergeCell ref="B8:B9"/>
    <mergeCell ref="C8:C9"/>
    <mergeCell ref="D8:E8"/>
    <mergeCell ref="D4:G4"/>
  </mergeCells>
  <printOptions horizontalCentered="1"/>
  <pageMargins left="0.9055118110236221" right="0.1968503937007874" top="0.5905511811023623" bottom="0.1968503937007874" header="0.3937007874015748" footer="0.11811023622047245"/>
  <pageSetup firstPageNumber="5" useFirstPageNumber="1" horizontalDpi="300" verticalDpi="3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85"/>
  <sheetViews>
    <sheetView tabSelected="1" zoomScaleSheetLayoutView="100" zoomScalePageLayoutView="0" workbookViewId="0" topLeftCell="A1">
      <pane xSplit="2" ySplit="13" topLeftCell="F71" activePane="bottomRight" state="frozen"/>
      <selection pane="topLeft" activeCell="D5" sqref="D5"/>
      <selection pane="topRight" activeCell="D5" sqref="D5"/>
      <selection pane="bottomLeft" activeCell="D5" sqref="D5"/>
      <selection pane="bottomRight" activeCell="F37" sqref="F37"/>
    </sheetView>
  </sheetViews>
  <sheetFormatPr defaultColWidth="9.00390625" defaultRowHeight="12.75" outlineLevelRow="1"/>
  <cols>
    <col min="1" max="1" width="11.00390625" style="271" customWidth="1"/>
    <col min="2" max="2" width="48.00390625" style="11" customWidth="1"/>
    <col min="3" max="3" width="13.75390625" style="117" bestFit="1" customWidth="1"/>
    <col min="4" max="4" width="13.75390625" style="117" customWidth="1"/>
    <col min="5" max="5" width="12.875" style="117" customWidth="1"/>
    <col min="6" max="6" width="12.375" style="11" bestFit="1" customWidth="1"/>
    <col min="7" max="8" width="11.625" style="11" customWidth="1"/>
    <col min="9" max="9" width="10.75390625" style="11" customWidth="1"/>
    <col min="10" max="10" width="13.125" style="11" customWidth="1"/>
    <col min="11" max="12" width="11.25390625" style="11" customWidth="1"/>
    <col min="13" max="13" width="12.875" style="11" customWidth="1"/>
    <col min="14" max="14" width="11.875" style="11" bestFit="1" customWidth="1"/>
    <col min="15" max="16384" width="9.125" style="11" customWidth="1"/>
  </cols>
  <sheetData>
    <row r="1" spans="1:13" ht="14.25" customHeight="1">
      <c r="A1" s="270"/>
      <c r="B1" s="8"/>
      <c r="C1" s="111"/>
      <c r="D1" s="111"/>
      <c r="E1" s="111"/>
      <c r="F1" s="8"/>
      <c r="G1" s="8"/>
      <c r="H1" s="8"/>
      <c r="I1" s="23"/>
      <c r="J1" s="601" t="s">
        <v>322</v>
      </c>
      <c r="K1" s="601"/>
      <c r="L1" s="601"/>
      <c r="M1" s="601"/>
    </row>
    <row r="2" spans="1:13" ht="12.75" customHeight="1">
      <c r="A2" s="270"/>
      <c r="B2" s="8"/>
      <c r="C2" s="111"/>
      <c r="D2" s="111"/>
      <c r="E2" s="111"/>
      <c r="F2" s="8"/>
      <c r="G2" s="8"/>
      <c r="H2" s="8"/>
      <c r="I2" s="24"/>
      <c r="J2" s="588" t="s">
        <v>275</v>
      </c>
      <c r="K2" s="588"/>
      <c r="L2" s="588"/>
      <c r="M2" s="588"/>
    </row>
    <row r="3" spans="1:13" ht="12.75" customHeight="1">
      <c r="A3" s="270"/>
      <c r="B3" s="8"/>
      <c r="C3" s="111"/>
      <c r="D3" s="111"/>
      <c r="E3" s="111"/>
      <c r="F3" s="8"/>
      <c r="G3" s="8"/>
      <c r="H3" s="8"/>
      <c r="I3" s="21"/>
      <c r="J3" s="589" t="s">
        <v>485</v>
      </c>
      <c r="K3" s="589"/>
      <c r="L3" s="589"/>
      <c r="M3" s="589"/>
    </row>
    <row r="4" spans="1:16" ht="12.75" customHeight="1">
      <c r="A4" s="270"/>
      <c r="B4" s="8"/>
      <c r="C4" s="111"/>
      <c r="D4" s="437"/>
      <c r="E4" s="111"/>
      <c r="F4" s="8"/>
      <c r="G4" s="8"/>
      <c r="H4" s="8"/>
      <c r="I4" s="23"/>
      <c r="J4" s="601" t="s">
        <v>124</v>
      </c>
      <c r="K4" s="601"/>
      <c r="L4" s="601"/>
      <c r="M4" s="601"/>
      <c r="N4" s="23"/>
      <c r="O4" s="23"/>
      <c r="P4" s="23"/>
    </row>
    <row r="5" spans="1:13" ht="15" customHeight="1">
      <c r="A5" s="270"/>
      <c r="B5" s="8"/>
      <c r="C5" s="111"/>
      <c r="D5" s="111"/>
      <c r="E5" s="111"/>
      <c r="F5" s="8"/>
      <c r="G5" s="8"/>
      <c r="H5" s="8"/>
      <c r="I5"/>
      <c r="J5" s="601"/>
      <c r="K5" s="601"/>
      <c r="L5" s="601"/>
      <c r="M5" s="601"/>
    </row>
    <row r="6" spans="1:13" ht="36" customHeight="1">
      <c r="A6" s="270"/>
      <c r="B6" s="609" t="s">
        <v>381</v>
      </c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</row>
    <row r="7" spans="2:13" ht="12.75">
      <c r="B7" s="25"/>
      <c r="M7" s="45" t="s">
        <v>607</v>
      </c>
    </row>
    <row r="8" spans="1:13" ht="12.75">
      <c r="A8" s="615" t="s">
        <v>580</v>
      </c>
      <c r="B8" s="615" t="s">
        <v>579</v>
      </c>
      <c r="C8" s="616" t="s">
        <v>279</v>
      </c>
      <c r="D8" s="616"/>
      <c r="E8" s="616"/>
      <c r="F8" s="590" t="s">
        <v>280</v>
      </c>
      <c r="G8" s="591"/>
      <c r="H8" s="591"/>
      <c r="I8" s="591"/>
      <c r="J8" s="591"/>
      <c r="K8" s="591"/>
      <c r="L8" s="581"/>
      <c r="M8" s="608" t="s">
        <v>276</v>
      </c>
    </row>
    <row r="9" spans="1:13" ht="12.75" customHeight="1">
      <c r="A9" s="615"/>
      <c r="B9" s="615"/>
      <c r="C9" s="617" t="s">
        <v>281</v>
      </c>
      <c r="D9" s="618" t="s">
        <v>282</v>
      </c>
      <c r="E9" s="618"/>
      <c r="F9" s="612" t="s">
        <v>281</v>
      </c>
      <c r="G9" s="611" t="s">
        <v>581</v>
      </c>
      <c r="H9" s="618" t="s">
        <v>282</v>
      </c>
      <c r="I9" s="618"/>
      <c r="J9" s="611" t="s">
        <v>584</v>
      </c>
      <c r="K9" s="584" t="s">
        <v>144</v>
      </c>
      <c r="L9" s="585"/>
      <c r="M9" s="608"/>
    </row>
    <row r="10" spans="1:13" ht="21" customHeight="1">
      <c r="A10" s="615"/>
      <c r="B10" s="615"/>
      <c r="C10" s="617"/>
      <c r="D10" s="610" t="s">
        <v>582</v>
      </c>
      <c r="E10" s="610" t="s">
        <v>583</v>
      </c>
      <c r="F10" s="612"/>
      <c r="G10" s="611"/>
      <c r="H10" s="611" t="s">
        <v>582</v>
      </c>
      <c r="I10" s="611" t="s">
        <v>583</v>
      </c>
      <c r="J10" s="611"/>
      <c r="K10" s="582" t="s">
        <v>587</v>
      </c>
      <c r="L10" s="285"/>
      <c r="M10" s="608"/>
    </row>
    <row r="11" spans="1:13" ht="34.5" customHeight="1">
      <c r="A11" s="615"/>
      <c r="B11" s="615"/>
      <c r="C11" s="617"/>
      <c r="D11" s="610"/>
      <c r="E11" s="610"/>
      <c r="F11" s="612"/>
      <c r="G11" s="611"/>
      <c r="H11" s="611"/>
      <c r="I11" s="611"/>
      <c r="J11" s="611"/>
      <c r="K11" s="583"/>
      <c r="L11" s="613" t="s">
        <v>145</v>
      </c>
      <c r="M11" s="608"/>
    </row>
    <row r="12" spans="1:13" ht="93.75" customHeight="1">
      <c r="A12" s="615"/>
      <c r="B12" s="615"/>
      <c r="C12" s="617"/>
      <c r="D12" s="610"/>
      <c r="E12" s="610"/>
      <c r="F12" s="612"/>
      <c r="G12" s="611"/>
      <c r="H12" s="611"/>
      <c r="I12" s="611"/>
      <c r="J12" s="611"/>
      <c r="K12" s="614"/>
      <c r="L12" s="614"/>
      <c r="M12" s="608"/>
    </row>
    <row r="13" spans="1:50" s="27" customFormat="1" ht="12.75" customHeight="1">
      <c r="A13" s="272">
        <v>1</v>
      </c>
      <c r="B13" s="26">
        <v>2</v>
      </c>
      <c r="C13" s="592">
        <v>3</v>
      </c>
      <c r="D13" s="599">
        <v>4</v>
      </c>
      <c r="E13" s="599">
        <v>5</v>
      </c>
      <c r="F13" s="26" t="s">
        <v>143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 t="s">
        <v>146</v>
      </c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4"/>
      <c r="AU13" s="574"/>
      <c r="AV13" s="574"/>
      <c r="AW13" s="574"/>
      <c r="AX13" s="574"/>
    </row>
    <row r="14" spans="1:50" ht="12.75">
      <c r="A14" s="273" t="s">
        <v>283</v>
      </c>
      <c r="B14" s="418" t="s">
        <v>284</v>
      </c>
      <c r="C14" s="593">
        <f aca="true" t="shared" si="0" ref="C14:M14">+C15</f>
        <v>1708.343</v>
      </c>
      <c r="D14" s="303">
        <f t="shared" si="0"/>
        <v>1364.581</v>
      </c>
      <c r="E14" s="303">
        <f>E15</f>
        <v>236.063</v>
      </c>
      <c r="F14" s="294">
        <f t="shared" si="0"/>
        <v>52.391</v>
      </c>
      <c r="G14" s="385">
        <f t="shared" si="0"/>
        <v>30</v>
      </c>
      <c r="H14" s="386">
        <f>H15</f>
        <v>0.418</v>
      </c>
      <c r="I14" s="386">
        <v>6.4</v>
      </c>
      <c r="J14" s="572">
        <f t="shared" si="0"/>
        <v>21.973</v>
      </c>
      <c r="K14" s="572">
        <f>J14</f>
        <v>21.973</v>
      </c>
      <c r="L14" s="362">
        <f t="shared" si="0"/>
        <v>0</v>
      </c>
      <c r="M14" s="294">
        <f t="shared" si="0"/>
        <v>1760.7340000000002</v>
      </c>
      <c r="N14" s="32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</row>
    <row r="15" spans="1:50" s="335" customFormat="1" ht="12.75">
      <c r="A15" s="276" t="s">
        <v>605</v>
      </c>
      <c r="B15" s="419" t="s">
        <v>606</v>
      </c>
      <c r="C15" s="242">
        <v>1708.343</v>
      </c>
      <c r="D15" s="218">
        <v>1364.581</v>
      </c>
      <c r="E15" s="218">
        <v>236.063</v>
      </c>
      <c r="F15" s="298">
        <f>G15+H15+J15</f>
        <v>52.391</v>
      </c>
      <c r="G15" s="217">
        <v>30</v>
      </c>
      <c r="H15" s="218">
        <v>0.418</v>
      </c>
      <c r="I15" s="218">
        <v>6.4</v>
      </c>
      <c r="J15" s="218">
        <v>21.973</v>
      </c>
      <c r="K15" s="218">
        <f>J15</f>
        <v>21.973</v>
      </c>
      <c r="L15" s="219"/>
      <c r="M15" s="298">
        <f>C15+F15</f>
        <v>1760.7340000000002</v>
      </c>
      <c r="N15" s="334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</row>
    <row r="16" spans="1:14" s="103" customFormat="1" ht="12.75">
      <c r="A16" s="275" t="s">
        <v>285</v>
      </c>
      <c r="B16" s="420" t="s">
        <v>286</v>
      </c>
      <c r="C16" s="594">
        <f>C18</f>
        <v>5564.724</v>
      </c>
      <c r="D16" s="224">
        <f>D18</f>
        <v>4240.953</v>
      </c>
      <c r="E16" s="224">
        <f>E18</f>
        <v>692.776</v>
      </c>
      <c r="F16" s="300">
        <f>F18</f>
        <v>595.225</v>
      </c>
      <c r="G16" s="223"/>
      <c r="H16" s="224"/>
      <c r="I16" s="224"/>
      <c r="J16" s="224">
        <f>J18</f>
        <v>195.225</v>
      </c>
      <c r="K16" s="224">
        <f>J16</f>
        <v>195.225</v>
      </c>
      <c r="L16" s="225"/>
      <c r="M16" s="300">
        <f>+C16+F16</f>
        <v>6159.9490000000005</v>
      </c>
      <c r="N16" s="12"/>
    </row>
    <row r="17" spans="1:14" s="335" customFormat="1" ht="63.75" hidden="1" outlineLevel="1">
      <c r="A17" s="277" t="s">
        <v>574</v>
      </c>
      <c r="B17" s="421" t="s">
        <v>22</v>
      </c>
      <c r="C17" s="242"/>
      <c r="D17" s="235"/>
      <c r="E17" s="235"/>
      <c r="F17" s="298">
        <f aca="true" t="shared" si="1" ref="F17:F24">+G17+J17</f>
        <v>0</v>
      </c>
      <c r="G17" s="234"/>
      <c r="H17" s="235"/>
      <c r="I17" s="235"/>
      <c r="J17" s="235"/>
      <c r="K17" s="235"/>
      <c r="L17" s="241"/>
      <c r="M17" s="298">
        <f>+C17+F17</f>
        <v>0</v>
      </c>
      <c r="N17" s="334"/>
    </row>
    <row r="18" spans="1:14" s="335" customFormat="1" ht="12.75" outlineLevel="1">
      <c r="A18" s="276" t="s">
        <v>496</v>
      </c>
      <c r="B18" s="442" t="s">
        <v>497</v>
      </c>
      <c r="C18" s="242">
        <v>5564.724</v>
      </c>
      <c r="D18" s="235">
        <v>4240.953</v>
      </c>
      <c r="E18" s="235">
        <v>692.776</v>
      </c>
      <c r="F18" s="298">
        <f>G18+J18</f>
        <v>595.225</v>
      </c>
      <c r="G18" s="234">
        <v>400</v>
      </c>
      <c r="H18" s="235"/>
      <c r="I18" s="235"/>
      <c r="J18" s="235">
        <v>195.225</v>
      </c>
      <c r="K18" s="235">
        <f>J18</f>
        <v>195.225</v>
      </c>
      <c r="L18" s="241"/>
      <c r="M18" s="298">
        <f>C18+F18</f>
        <v>6159.9490000000005</v>
      </c>
      <c r="N18" s="334"/>
    </row>
    <row r="19" spans="1:14" ht="15.75" customHeight="1">
      <c r="A19" s="275" t="s">
        <v>287</v>
      </c>
      <c r="B19" s="422" t="s">
        <v>288</v>
      </c>
      <c r="C19" s="577">
        <f>SUM(C20:C25)</f>
        <v>5.4</v>
      </c>
      <c r="D19" s="303">
        <f>SUM(D20:D25)</f>
        <v>0</v>
      </c>
      <c r="E19" s="303">
        <f>SUM(E20:E25)</f>
        <v>0</v>
      </c>
      <c r="F19" s="300">
        <f t="shared" si="1"/>
        <v>0</v>
      </c>
      <c r="G19" s="295">
        <f aca="true" t="shared" si="2" ref="G19:L19">SUM(G20:G25)</f>
        <v>0</v>
      </c>
      <c r="H19" s="296">
        <f t="shared" si="2"/>
        <v>0</v>
      </c>
      <c r="I19" s="296">
        <f t="shared" si="2"/>
        <v>0</v>
      </c>
      <c r="J19" s="303">
        <f t="shared" si="2"/>
        <v>0</v>
      </c>
      <c r="K19" s="303">
        <f t="shared" si="2"/>
        <v>0</v>
      </c>
      <c r="L19" s="297">
        <f t="shared" si="2"/>
        <v>0</v>
      </c>
      <c r="M19" s="300">
        <f aca="true" t="shared" si="3" ref="M19:M28">+C19+F19</f>
        <v>5.4</v>
      </c>
      <c r="N19" s="32"/>
    </row>
    <row r="20" spans="1:14" ht="27" customHeight="1" hidden="1" outlineLevel="1">
      <c r="A20" s="274" t="s">
        <v>46</v>
      </c>
      <c r="B20" s="424" t="s">
        <v>47</v>
      </c>
      <c r="C20" s="242"/>
      <c r="D20" s="235"/>
      <c r="E20" s="235"/>
      <c r="F20" s="298">
        <f t="shared" si="1"/>
        <v>0</v>
      </c>
      <c r="G20" s="217"/>
      <c r="H20" s="246"/>
      <c r="I20" s="246"/>
      <c r="J20" s="235"/>
      <c r="K20" s="235"/>
      <c r="L20" s="299"/>
      <c r="M20" s="298">
        <f t="shared" si="3"/>
        <v>0</v>
      </c>
      <c r="N20" s="32"/>
    </row>
    <row r="21" spans="1:14" ht="12.75" hidden="1" outlineLevel="1">
      <c r="A21" s="274" t="s">
        <v>293</v>
      </c>
      <c r="B21" s="424" t="s">
        <v>294</v>
      </c>
      <c r="C21" s="242"/>
      <c r="D21" s="235"/>
      <c r="E21" s="235"/>
      <c r="F21" s="298">
        <f t="shared" si="1"/>
        <v>0</v>
      </c>
      <c r="G21" s="234"/>
      <c r="H21" s="246"/>
      <c r="I21" s="246"/>
      <c r="J21" s="235"/>
      <c r="K21" s="235"/>
      <c r="L21" s="299"/>
      <c r="M21" s="298">
        <f t="shared" si="3"/>
        <v>0</v>
      </c>
      <c r="N21" s="32"/>
    </row>
    <row r="22" spans="1:14" ht="25.5" hidden="1" outlineLevel="1">
      <c r="A22" s="278" t="s">
        <v>295</v>
      </c>
      <c r="B22" s="424" t="s">
        <v>299</v>
      </c>
      <c r="C22" s="216"/>
      <c r="D22" s="235"/>
      <c r="E22" s="235"/>
      <c r="F22" s="298">
        <f t="shared" si="1"/>
        <v>0</v>
      </c>
      <c r="G22" s="306"/>
      <c r="H22" s="246"/>
      <c r="I22" s="246"/>
      <c r="J22" s="235"/>
      <c r="K22" s="235"/>
      <c r="L22" s="299"/>
      <c r="M22" s="298">
        <f t="shared" si="3"/>
        <v>0</v>
      </c>
      <c r="N22" s="32"/>
    </row>
    <row r="23" spans="1:14" ht="12.75" collapsed="1">
      <c r="A23" s="202" t="s">
        <v>609</v>
      </c>
      <c r="B23" s="425" t="s">
        <v>469</v>
      </c>
      <c r="C23" s="216">
        <v>5.4</v>
      </c>
      <c r="D23" s="235"/>
      <c r="E23" s="235"/>
      <c r="F23" s="298">
        <f t="shared" si="1"/>
        <v>0</v>
      </c>
      <c r="G23" s="217"/>
      <c r="H23" s="235"/>
      <c r="I23" s="235"/>
      <c r="J23" s="235"/>
      <c r="K23" s="235"/>
      <c r="L23" s="241"/>
      <c r="M23" s="298">
        <f t="shared" si="3"/>
        <v>5.4</v>
      </c>
      <c r="N23" s="32"/>
    </row>
    <row r="24" spans="1:14" ht="30" customHeight="1" hidden="1" outlineLevel="1">
      <c r="A24" s="202" t="s">
        <v>59</v>
      </c>
      <c r="B24" s="425" t="s">
        <v>60</v>
      </c>
      <c r="C24" s="242"/>
      <c r="D24" s="235"/>
      <c r="E24" s="235"/>
      <c r="F24" s="298">
        <f t="shared" si="1"/>
        <v>0</v>
      </c>
      <c r="G24" s="217"/>
      <c r="H24" s="235"/>
      <c r="I24" s="235"/>
      <c r="J24" s="235"/>
      <c r="K24" s="235"/>
      <c r="L24" s="241"/>
      <c r="M24" s="298">
        <f t="shared" si="3"/>
        <v>0</v>
      </c>
      <c r="N24" s="32"/>
    </row>
    <row r="25" spans="1:14" ht="63.75" hidden="1" outlineLevel="1" collapsed="1">
      <c r="A25" s="202" t="s">
        <v>61</v>
      </c>
      <c r="B25" s="425" t="s">
        <v>22</v>
      </c>
      <c r="C25" s="216"/>
      <c r="D25" s="235"/>
      <c r="E25" s="235"/>
      <c r="F25" s="298">
        <f aca="true" t="shared" si="4" ref="F25:F60">+G25+J25</f>
        <v>0</v>
      </c>
      <c r="G25" s="217"/>
      <c r="H25" s="235"/>
      <c r="I25" s="235"/>
      <c r="J25" s="235"/>
      <c r="K25" s="235"/>
      <c r="L25" s="241"/>
      <c r="M25" s="305">
        <f t="shared" si="3"/>
        <v>0</v>
      </c>
      <c r="N25" s="32"/>
    </row>
    <row r="26" spans="1:14" ht="13.5" customHeight="1" hidden="1" outlineLevel="1" collapsed="1">
      <c r="A26" s="275">
        <v>100000</v>
      </c>
      <c r="B26" s="422" t="s">
        <v>313</v>
      </c>
      <c r="C26" s="313">
        <f>SUM(C27:C32)</f>
        <v>0</v>
      </c>
      <c r="D26" s="303">
        <f>SUM(D27:D32)</f>
        <v>0</v>
      </c>
      <c r="E26" s="303">
        <f>SUM(E27:E32)</f>
        <v>0</v>
      </c>
      <c r="F26" s="308">
        <f t="shared" si="4"/>
        <v>0</v>
      </c>
      <c r="G26" s="295">
        <f aca="true" t="shared" si="5" ref="G26:L26">SUM(G27:G32)</f>
        <v>0</v>
      </c>
      <c r="H26" s="296">
        <f t="shared" si="5"/>
        <v>0</v>
      </c>
      <c r="I26" s="296">
        <f t="shared" si="5"/>
        <v>0</v>
      </c>
      <c r="J26" s="303">
        <f t="shared" si="5"/>
        <v>0</v>
      </c>
      <c r="K26" s="303">
        <f t="shared" si="5"/>
        <v>0</v>
      </c>
      <c r="L26" s="297">
        <f t="shared" si="5"/>
        <v>0</v>
      </c>
      <c r="M26" s="308">
        <f t="shared" si="3"/>
        <v>0</v>
      </c>
      <c r="N26" s="32"/>
    </row>
    <row r="27" spans="1:14" ht="12.75" hidden="1" outlineLevel="1">
      <c r="A27" s="278" t="s">
        <v>87</v>
      </c>
      <c r="B27" s="421" t="s">
        <v>541</v>
      </c>
      <c r="C27" s="242"/>
      <c r="D27" s="235"/>
      <c r="E27" s="235"/>
      <c r="F27" s="262">
        <f t="shared" si="4"/>
        <v>0</v>
      </c>
      <c r="G27" s="234"/>
      <c r="H27" s="246"/>
      <c r="I27" s="246"/>
      <c r="J27" s="235"/>
      <c r="K27" s="235"/>
      <c r="L27" s="299"/>
      <c r="M27" s="262">
        <f t="shared" si="3"/>
        <v>0</v>
      </c>
      <c r="N27" s="32"/>
    </row>
    <row r="28" spans="1:14" ht="15.75" customHeight="1" hidden="1" outlineLevel="1" collapsed="1">
      <c r="A28" s="278" t="s">
        <v>87</v>
      </c>
      <c r="B28" s="424" t="s">
        <v>541</v>
      </c>
      <c r="C28" s="242"/>
      <c r="D28" s="235"/>
      <c r="E28" s="235"/>
      <c r="F28" s="262">
        <f t="shared" si="4"/>
        <v>0</v>
      </c>
      <c r="G28" s="234"/>
      <c r="H28" s="246"/>
      <c r="I28" s="246"/>
      <c r="J28" s="235"/>
      <c r="K28" s="235"/>
      <c r="L28" s="299"/>
      <c r="M28" s="262">
        <f t="shared" si="3"/>
        <v>0</v>
      </c>
      <c r="N28" s="32"/>
    </row>
    <row r="29" spans="1:14" ht="12.75" hidden="1" outlineLevel="1">
      <c r="A29" s="274" t="s">
        <v>334</v>
      </c>
      <c r="B29" s="426" t="s">
        <v>374</v>
      </c>
      <c r="C29" s="242"/>
      <c r="D29" s="235"/>
      <c r="E29" s="235"/>
      <c r="F29" s="262">
        <f t="shared" si="4"/>
        <v>0</v>
      </c>
      <c r="G29" s="301"/>
      <c r="H29" s="246"/>
      <c r="I29" s="246"/>
      <c r="J29" s="235"/>
      <c r="K29" s="235"/>
      <c r="L29" s="299"/>
      <c r="M29" s="262">
        <f aca="true" t="shared" si="6" ref="M29:M53">+C29+F29</f>
        <v>0</v>
      </c>
      <c r="N29" s="32"/>
    </row>
    <row r="30" spans="1:14" ht="53.25" customHeight="1" hidden="1" outlineLevel="1" collapsed="1">
      <c r="A30" s="274" t="s">
        <v>314</v>
      </c>
      <c r="B30" s="426" t="s">
        <v>315</v>
      </c>
      <c r="C30" s="242"/>
      <c r="D30" s="235"/>
      <c r="E30" s="235"/>
      <c r="F30" s="262">
        <f t="shared" si="4"/>
        <v>0</v>
      </c>
      <c r="G30" s="301"/>
      <c r="H30" s="246"/>
      <c r="I30" s="246"/>
      <c r="J30" s="235"/>
      <c r="K30" s="235"/>
      <c r="L30" s="299"/>
      <c r="M30" s="262">
        <f t="shared" si="6"/>
        <v>0</v>
      </c>
      <c r="N30" s="32"/>
    </row>
    <row r="31" spans="1:14" ht="63.75" hidden="1" outlineLevel="1" collapsed="1">
      <c r="A31" s="274" t="s">
        <v>88</v>
      </c>
      <c r="B31" s="426" t="s">
        <v>375</v>
      </c>
      <c r="C31" s="242"/>
      <c r="D31" s="235"/>
      <c r="E31" s="235"/>
      <c r="F31" s="262">
        <f t="shared" si="4"/>
        <v>0</v>
      </c>
      <c r="G31" s="301"/>
      <c r="H31" s="246"/>
      <c r="I31" s="246"/>
      <c r="J31" s="235"/>
      <c r="K31" s="235"/>
      <c r="L31" s="299"/>
      <c r="M31" s="262">
        <f t="shared" si="6"/>
        <v>0</v>
      </c>
      <c r="N31" s="32"/>
    </row>
    <row r="32" spans="1:14" ht="102" hidden="1" outlineLevel="1" collapsed="1">
      <c r="A32" s="274" t="s">
        <v>298</v>
      </c>
      <c r="B32" s="427" t="s">
        <v>366</v>
      </c>
      <c r="C32" s="242"/>
      <c r="D32" s="235"/>
      <c r="E32" s="235"/>
      <c r="F32" s="262">
        <f t="shared" si="4"/>
        <v>0</v>
      </c>
      <c r="G32" s="301"/>
      <c r="H32" s="246"/>
      <c r="I32" s="246"/>
      <c r="J32" s="235"/>
      <c r="K32" s="235"/>
      <c r="L32" s="299"/>
      <c r="M32" s="262">
        <f t="shared" si="6"/>
        <v>0</v>
      </c>
      <c r="N32" s="32"/>
    </row>
    <row r="33" spans="1:14" ht="51" outlineLevel="1">
      <c r="A33" s="443" t="s">
        <v>19</v>
      </c>
      <c r="B33" s="579" t="s">
        <v>306</v>
      </c>
      <c r="C33" s="577">
        <v>26.004</v>
      </c>
      <c r="D33" s="235"/>
      <c r="E33" s="235"/>
      <c r="F33" s="262"/>
      <c r="G33" s="301"/>
      <c r="H33" s="246"/>
      <c r="I33" s="246"/>
      <c r="J33" s="235"/>
      <c r="K33" s="235"/>
      <c r="L33" s="299"/>
      <c r="M33" s="262">
        <f>C33</f>
        <v>26.004</v>
      </c>
      <c r="N33" s="32"/>
    </row>
    <row r="34" spans="1:14" ht="12.75" outlineLevel="1">
      <c r="A34" s="443" t="s">
        <v>491</v>
      </c>
      <c r="B34" s="526" t="s">
        <v>313</v>
      </c>
      <c r="C34" s="577">
        <v>10.207</v>
      </c>
      <c r="D34" s="235"/>
      <c r="E34" s="235"/>
      <c r="F34" s="262"/>
      <c r="G34" s="301"/>
      <c r="H34" s="246"/>
      <c r="I34" s="246"/>
      <c r="J34" s="235"/>
      <c r="K34" s="235"/>
      <c r="L34" s="299"/>
      <c r="M34" s="298">
        <f t="shared" si="6"/>
        <v>10.207</v>
      </c>
      <c r="N34" s="32"/>
    </row>
    <row r="35" spans="1:14" ht="16.5" customHeight="1" outlineLevel="1">
      <c r="A35" s="443" t="s">
        <v>87</v>
      </c>
      <c r="B35" s="525" t="s">
        <v>169</v>
      </c>
      <c r="C35" s="577">
        <v>29.065</v>
      </c>
      <c r="D35" s="235"/>
      <c r="E35" s="235"/>
      <c r="F35" s="262"/>
      <c r="G35" s="301"/>
      <c r="H35" s="246"/>
      <c r="I35" s="246"/>
      <c r="J35" s="235"/>
      <c r="K35" s="235"/>
      <c r="L35" s="299"/>
      <c r="M35" s="298">
        <f t="shared" si="6"/>
        <v>29.065</v>
      </c>
      <c r="N35" s="32"/>
    </row>
    <row r="36" spans="1:14" ht="16.5" customHeight="1" outlineLevel="1">
      <c r="A36" s="443" t="s">
        <v>459</v>
      </c>
      <c r="B36" s="525" t="s">
        <v>460</v>
      </c>
      <c r="C36" s="242">
        <v>8.331</v>
      </c>
      <c r="D36" s="235"/>
      <c r="E36" s="235"/>
      <c r="F36" s="262"/>
      <c r="G36" s="301"/>
      <c r="H36" s="246"/>
      <c r="I36" s="246"/>
      <c r="J36" s="235"/>
      <c r="K36" s="235"/>
      <c r="L36" s="299"/>
      <c r="M36" s="298">
        <f t="shared" si="6"/>
        <v>8.331</v>
      </c>
      <c r="N36" s="32"/>
    </row>
    <row r="37" spans="1:14" ht="12.75" outlineLevel="1">
      <c r="A37" s="443" t="s">
        <v>492</v>
      </c>
      <c r="B37" s="444" t="s">
        <v>233</v>
      </c>
      <c r="C37" s="577">
        <v>366.05</v>
      </c>
      <c r="D37" s="235"/>
      <c r="E37" s="235">
        <v>264.924</v>
      </c>
      <c r="F37" s="262">
        <f>G37+I37+J37</f>
        <v>77.77499999999999</v>
      </c>
      <c r="G37" s="301">
        <v>62.751</v>
      </c>
      <c r="H37" s="246"/>
      <c r="I37" s="246">
        <v>9.524</v>
      </c>
      <c r="J37" s="235">
        <v>5.5</v>
      </c>
      <c r="K37" s="235">
        <v>5.5</v>
      </c>
      <c r="L37" s="299"/>
      <c r="M37" s="298">
        <f t="shared" si="6"/>
        <v>443.825</v>
      </c>
      <c r="N37" s="32"/>
    </row>
    <row r="38" spans="1:14" ht="12.75">
      <c r="A38" s="275">
        <v>110000</v>
      </c>
      <c r="B38" s="422" t="s">
        <v>316</v>
      </c>
      <c r="C38" s="313">
        <f>C39</f>
        <v>473.236</v>
      </c>
      <c r="D38" s="303">
        <f>D39</f>
        <v>429.48</v>
      </c>
      <c r="E38" s="303">
        <f>E39</f>
        <v>37.081</v>
      </c>
      <c r="F38" s="308">
        <f>J38</f>
        <v>56.537</v>
      </c>
      <c r="G38" s="295">
        <f aca="true" t="shared" si="7" ref="G38:L38">SUM(G39:G41)</f>
        <v>0</v>
      </c>
      <c r="H38" s="296">
        <f t="shared" si="7"/>
        <v>0</v>
      </c>
      <c r="I38" s="296">
        <f t="shared" si="7"/>
        <v>0</v>
      </c>
      <c r="J38" s="303">
        <f t="shared" si="7"/>
        <v>56.537</v>
      </c>
      <c r="K38" s="303">
        <f>J38</f>
        <v>56.537</v>
      </c>
      <c r="L38" s="297">
        <f t="shared" si="7"/>
        <v>0</v>
      </c>
      <c r="M38" s="308">
        <f t="shared" si="6"/>
        <v>529.773</v>
      </c>
      <c r="N38" s="32"/>
    </row>
    <row r="39" spans="1:14" s="117" customFormat="1" ht="30" customHeight="1">
      <c r="A39" s="278" t="s">
        <v>175</v>
      </c>
      <c r="B39" s="424" t="s">
        <v>176</v>
      </c>
      <c r="C39" s="216">
        <v>473.236</v>
      </c>
      <c r="D39" s="218">
        <v>429.48</v>
      </c>
      <c r="E39" s="218">
        <v>37.081</v>
      </c>
      <c r="F39" s="220">
        <f>J39</f>
        <v>56.537</v>
      </c>
      <c r="G39" s="217"/>
      <c r="H39" s="218"/>
      <c r="I39" s="218"/>
      <c r="J39" s="218">
        <v>56.537</v>
      </c>
      <c r="K39" s="218">
        <f>J39</f>
        <v>56.537</v>
      </c>
      <c r="L39" s="219"/>
      <c r="M39" s="220">
        <f>M38</f>
        <v>529.773</v>
      </c>
      <c r="N39" s="578"/>
    </row>
    <row r="40" spans="1:14" ht="12.75" hidden="1" outlineLevel="1" collapsed="1">
      <c r="A40" s="278" t="s">
        <v>296</v>
      </c>
      <c r="B40" s="424" t="s">
        <v>297</v>
      </c>
      <c r="C40" s="242"/>
      <c r="D40" s="218"/>
      <c r="E40" s="218"/>
      <c r="F40" s="307">
        <f t="shared" si="4"/>
        <v>0</v>
      </c>
      <c r="G40" s="306"/>
      <c r="H40" s="227"/>
      <c r="I40" s="227"/>
      <c r="J40" s="218"/>
      <c r="K40" s="218"/>
      <c r="L40" s="263"/>
      <c r="M40" s="307">
        <f t="shared" si="6"/>
        <v>0</v>
      </c>
      <c r="N40" s="32"/>
    </row>
    <row r="41" spans="1:14" ht="12.75" hidden="1" outlineLevel="1">
      <c r="A41" s="278">
        <v>110300</v>
      </c>
      <c r="B41" s="424" t="s">
        <v>321</v>
      </c>
      <c r="C41" s="242"/>
      <c r="D41" s="218"/>
      <c r="E41" s="218"/>
      <c r="F41" s="307">
        <f t="shared" si="4"/>
        <v>0</v>
      </c>
      <c r="G41" s="306"/>
      <c r="H41" s="227"/>
      <c r="I41" s="227"/>
      <c r="J41" s="218"/>
      <c r="K41" s="218"/>
      <c r="L41" s="263"/>
      <c r="M41" s="262">
        <f t="shared" si="6"/>
        <v>0</v>
      </c>
      <c r="N41" s="32"/>
    </row>
    <row r="42" spans="1:14" ht="15.75" customHeight="1" outlineLevel="1">
      <c r="A42" s="278" t="s">
        <v>75</v>
      </c>
      <c r="B42" s="424" t="s">
        <v>76</v>
      </c>
      <c r="C42" s="242"/>
      <c r="D42" s="218"/>
      <c r="E42" s="218"/>
      <c r="F42" s="307">
        <f>J42</f>
        <v>7.782</v>
      </c>
      <c r="G42" s="306"/>
      <c r="H42" s="227"/>
      <c r="I42" s="227"/>
      <c r="J42" s="218">
        <v>7.782</v>
      </c>
      <c r="K42" s="218">
        <v>7.782</v>
      </c>
      <c r="L42" s="263"/>
      <c r="M42" s="262">
        <f>K42</f>
        <v>7.782</v>
      </c>
      <c r="N42" s="32"/>
    </row>
    <row r="43" spans="1:14" ht="12.75">
      <c r="A43" s="275">
        <v>150000</v>
      </c>
      <c r="B43" s="422" t="s">
        <v>338</v>
      </c>
      <c r="C43" s="313">
        <f>+C44+C46+C45+C47+C48</f>
        <v>0</v>
      </c>
      <c r="D43" s="303">
        <f>+D44+D46+D45+D47+D48</f>
        <v>0</v>
      </c>
      <c r="E43" s="303">
        <f>+E44+E46+E45+E47+E48</f>
        <v>0</v>
      </c>
      <c r="F43" s="308">
        <f>J43</f>
        <v>1055.349</v>
      </c>
      <c r="G43" s="295">
        <f aca="true" t="shared" si="8" ref="G43:L43">+G44+G46+G45+G47+G48</f>
        <v>0</v>
      </c>
      <c r="H43" s="296">
        <f t="shared" si="8"/>
        <v>0</v>
      </c>
      <c r="I43" s="296">
        <f t="shared" si="8"/>
        <v>0</v>
      </c>
      <c r="J43" s="303">
        <f>J44</f>
        <v>1055.349</v>
      </c>
      <c r="K43" s="303">
        <f>J43</f>
        <v>1055.349</v>
      </c>
      <c r="L43" s="297">
        <f t="shared" si="8"/>
        <v>0</v>
      </c>
      <c r="M43" s="308">
        <f t="shared" si="6"/>
        <v>1055.349</v>
      </c>
      <c r="N43" s="32"/>
    </row>
    <row r="44" spans="1:14" s="117" customFormat="1" ht="12.75">
      <c r="A44" s="202">
        <v>150101</v>
      </c>
      <c r="B44" s="425" t="s">
        <v>339</v>
      </c>
      <c r="C44" s="242"/>
      <c r="D44" s="235"/>
      <c r="E44" s="235"/>
      <c r="F44" s="261">
        <f>F43</f>
        <v>1055.349</v>
      </c>
      <c r="G44" s="234"/>
      <c r="H44" s="235"/>
      <c r="I44" s="235"/>
      <c r="J44" s="235">
        <v>1055.349</v>
      </c>
      <c r="K44" s="235">
        <f>K43</f>
        <v>1055.349</v>
      </c>
      <c r="L44" s="241"/>
      <c r="M44" s="261">
        <f>F44</f>
        <v>1055.349</v>
      </c>
      <c r="N44" s="578"/>
    </row>
    <row r="45" spans="1:14" ht="25.5" hidden="1" outlineLevel="1">
      <c r="A45" s="198" t="s">
        <v>483</v>
      </c>
      <c r="B45" s="427" t="s">
        <v>191</v>
      </c>
      <c r="C45" s="242"/>
      <c r="D45" s="235"/>
      <c r="E45" s="235"/>
      <c r="F45" s="262">
        <f t="shared" si="4"/>
        <v>0</v>
      </c>
      <c r="G45" s="301"/>
      <c r="H45" s="246"/>
      <c r="I45" s="246"/>
      <c r="J45" s="235"/>
      <c r="K45" s="235"/>
      <c r="L45" s="299"/>
      <c r="M45" s="262">
        <f t="shared" si="6"/>
        <v>0</v>
      </c>
      <c r="N45" s="32"/>
    </row>
    <row r="46" spans="1:14" ht="25.5" hidden="1" outlineLevel="1">
      <c r="A46" s="274" t="s">
        <v>348</v>
      </c>
      <c r="B46" s="428" t="s">
        <v>349</v>
      </c>
      <c r="C46" s="242"/>
      <c r="D46" s="235"/>
      <c r="E46" s="235"/>
      <c r="F46" s="262">
        <f t="shared" si="4"/>
        <v>0</v>
      </c>
      <c r="G46" s="301"/>
      <c r="H46" s="246"/>
      <c r="I46" s="246"/>
      <c r="J46" s="235"/>
      <c r="K46" s="235"/>
      <c r="L46" s="299"/>
      <c r="M46" s="262">
        <f t="shared" si="6"/>
        <v>0</v>
      </c>
      <c r="N46" s="32"/>
    </row>
    <row r="47" spans="1:14" ht="25.5" hidden="1" outlineLevel="1">
      <c r="A47" s="274" t="s">
        <v>350</v>
      </c>
      <c r="B47" s="428" t="s">
        <v>186</v>
      </c>
      <c r="C47" s="242"/>
      <c r="D47" s="235"/>
      <c r="E47" s="235"/>
      <c r="F47" s="262">
        <f t="shared" si="4"/>
        <v>0</v>
      </c>
      <c r="G47" s="301"/>
      <c r="H47" s="246"/>
      <c r="I47" s="246"/>
      <c r="J47" s="235"/>
      <c r="K47" s="235"/>
      <c r="L47" s="299"/>
      <c r="M47" s="262">
        <f t="shared" si="6"/>
        <v>0</v>
      </c>
      <c r="N47" s="32"/>
    </row>
    <row r="48" spans="1:14" ht="25.5" hidden="1" outlineLevel="1">
      <c r="A48" s="274" t="s">
        <v>351</v>
      </c>
      <c r="B48" s="428" t="s">
        <v>352</v>
      </c>
      <c r="C48" s="242"/>
      <c r="D48" s="235"/>
      <c r="E48" s="235"/>
      <c r="F48" s="262">
        <f t="shared" si="4"/>
        <v>0</v>
      </c>
      <c r="G48" s="301"/>
      <c r="H48" s="246"/>
      <c r="I48" s="246"/>
      <c r="J48" s="235"/>
      <c r="K48" s="235"/>
      <c r="L48" s="299"/>
      <c r="M48" s="262">
        <f t="shared" si="6"/>
        <v>0</v>
      </c>
      <c r="N48" s="32"/>
    </row>
    <row r="49" spans="1:14" ht="12.75" hidden="1" outlineLevel="1" collapsed="1">
      <c r="A49" s="274">
        <v>150122</v>
      </c>
      <c r="B49" s="424" t="s">
        <v>66</v>
      </c>
      <c r="C49" s="242"/>
      <c r="D49" s="235"/>
      <c r="E49" s="235"/>
      <c r="F49" s="262">
        <f t="shared" si="4"/>
        <v>0</v>
      </c>
      <c r="G49" s="301"/>
      <c r="H49" s="246"/>
      <c r="I49" s="246"/>
      <c r="J49" s="235"/>
      <c r="K49" s="235"/>
      <c r="L49" s="299"/>
      <c r="M49" s="262">
        <f t="shared" si="6"/>
        <v>0</v>
      </c>
      <c r="N49" s="32"/>
    </row>
    <row r="50" spans="1:14" s="103" customFormat="1" ht="25.5" hidden="1" outlineLevel="1" collapsed="1">
      <c r="A50" s="275" t="s">
        <v>465</v>
      </c>
      <c r="B50" s="429" t="s">
        <v>466</v>
      </c>
      <c r="C50" s="313">
        <f>+C51</f>
        <v>0</v>
      </c>
      <c r="D50" s="224">
        <f>+D51</f>
        <v>0</v>
      </c>
      <c r="E50" s="224">
        <f>+E51</f>
        <v>0</v>
      </c>
      <c r="F50" s="308">
        <f t="shared" si="4"/>
        <v>0</v>
      </c>
      <c r="G50" s="309">
        <f aca="true" t="shared" si="9" ref="G50:L50">+G51</f>
        <v>0</v>
      </c>
      <c r="H50" s="310">
        <f t="shared" si="9"/>
        <v>0</v>
      </c>
      <c r="I50" s="310">
        <f t="shared" si="9"/>
        <v>0</v>
      </c>
      <c r="J50" s="224">
        <f t="shared" si="9"/>
        <v>0</v>
      </c>
      <c r="K50" s="224">
        <f t="shared" si="9"/>
        <v>0</v>
      </c>
      <c r="L50" s="311">
        <f t="shared" si="9"/>
        <v>0</v>
      </c>
      <c r="M50" s="308">
        <f t="shared" si="6"/>
        <v>0</v>
      </c>
      <c r="N50" s="32"/>
    </row>
    <row r="51" spans="1:14" ht="12.75" hidden="1" outlineLevel="1">
      <c r="A51" s="196" t="s">
        <v>219</v>
      </c>
      <c r="B51" s="430" t="s">
        <v>220</v>
      </c>
      <c r="C51" s="242"/>
      <c r="D51" s="235"/>
      <c r="E51" s="235"/>
      <c r="F51" s="262">
        <f t="shared" si="4"/>
        <v>0</v>
      </c>
      <c r="G51" s="243"/>
      <c r="H51" s="246"/>
      <c r="I51" s="246"/>
      <c r="J51" s="235"/>
      <c r="K51" s="235"/>
      <c r="L51" s="299"/>
      <c r="M51" s="262">
        <f t="shared" si="6"/>
        <v>0</v>
      </c>
      <c r="N51" s="32"/>
    </row>
    <row r="52" spans="1:14" s="103" customFormat="1" ht="25.5" hidden="1" outlineLevel="1">
      <c r="A52" s="279" t="s">
        <v>468</v>
      </c>
      <c r="B52" s="431" t="s">
        <v>467</v>
      </c>
      <c r="C52" s="313">
        <f>+C53</f>
        <v>0</v>
      </c>
      <c r="D52" s="224">
        <f>+D53</f>
        <v>0</v>
      </c>
      <c r="E52" s="224">
        <f>+E53</f>
        <v>0</v>
      </c>
      <c r="F52" s="312">
        <f t="shared" si="4"/>
        <v>0</v>
      </c>
      <c r="G52" s="309">
        <f aca="true" t="shared" si="10" ref="G52:L52">+G53</f>
        <v>0</v>
      </c>
      <c r="H52" s="310">
        <f t="shared" si="10"/>
        <v>0</v>
      </c>
      <c r="I52" s="310">
        <f t="shared" si="10"/>
        <v>0</v>
      </c>
      <c r="J52" s="224">
        <f t="shared" si="10"/>
        <v>0</v>
      </c>
      <c r="K52" s="224">
        <f t="shared" si="10"/>
        <v>0</v>
      </c>
      <c r="L52" s="311">
        <f t="shared" si="10"/>
        <v>0</v>
      </c>
      <c r="M52" s="312">
        <f t="shared" si="6"/>
        <v>0</v>
      </c>
      <c r="N52" s="32"/>
    </row>
    <row r="53" spans="1:14" ht="39.75" customHeight="1" hidden="1" outlineLevel="1">
      <c r="A53" s="278" t="s">
        <v>379</v>
      </c>
      <c r="B53" s="423" t="s">
        <v>519</v>
      </c>
      <c r="C53" s="242"/>
      <c r="D53" s="218"/>
      <c r="E53" s="218"/>
      <c r="F53" s="307">
        <f t="shared" si="4"/>
        <v>0</v>
      </c>
      <c r="G53" s="306"/>
      <c r="H53" s="227"/>
      <c r="I53" s="227"/>
      <c r="J53" s="218"/>
      <c r="K53" s="218"/>
      <c r="L53" s="263"/>
      <c r="M53" s="307">
        <f t="shared" si="6"/>
        <v>0</v>
      </c>
      <c r="N53" s="32"/>
    </row>
    <row r="54" spans="1:14" ht="12.75" hidden="1" outlineLevel="1">
      <c r="A54" s="274"/>
      <c r="B54" s="426"/>
      <c r="C54" s="242"/>
      <c r="D54" s="235"/>
      <c r="E54" s="235"/>
      <c r="F54" s="262">
        <f t="shared" si="4"/>
        <v>0</v>
      </c>
      <c r="G54" s="301"/>
      <c r="H54" s="246"/>
      <c r="I54" s="246"/>
      <c r="J54" s="235"/>
      <c r="K54" s="235"/>
      <c r="L54" s="299"/>
      <c r="M54" s="262">
        <f aca="true" t="shared" si="11" ref="M54:M76">+C54+F54</f>
        <v>0</v>
      </c>
      <c r="N54" s="32"/>
    </row>
    <row r="55" spans="1:14" ht="12.75" outlineLevel="1">
      <c r="A55" s="443" t="s">
        <v>219</v>
      </c>
      <c r="B55" s="570" t="s">
        <v>323</v>
      </c>
      <c r="C55" s="577">
        <v>42</v>
      </c>
      <c r="D55" s="235"/>
      <c r="E55" s="235"/>
      <c r="F55" s="262">
        <v>7.5</v>
      </c>
      <c r="G55" s="301"/>
      <c r="H55" s="246"/>
      <c r="I55" s="246"/>
      <c r="J55" s="235"/>
      <c r="K55" s="235"/>
      <c r="L55" s="299"/>
      <c r="M55" s="262">
        <f>SUM(C55:L55)</f>
        <v>49.5</v>
      </c>
      <c r="N55" s="32"/>
    </row>
    <row r="56" spans="1:14" ht="38.25" outlineLevel="1">
      <c r="A56" s="443" t="s">
        <v>203</v>
      </c>
      <c r="B56" s="570" t="s">
        <v>202</v>
      </c>
      <c r="C56" s="242"/>
      <c r="D56" s="235"/>
      <c r="E56" s="235"/>
      <c r="F56" s="262">
        <v>524.238</v>
      </c>
      <c r="G56" s="301">
        <v>524.238</v>
      </c>
      <c r="H56" s="246"/>
      <c r="I56" s="246"/>
      <c r="J56" s="235"/>
      <c r="K56" s="235"/>
      <c r="L56" s="299"/>
      <c r="M56" s="262">
        <v>524.238</v>
      </c>
      <c r="N56" s="32"/>
    </row>
    <row r="57" spans="1:14" ht="12.75">
      <c r="A57" s="275">
        <v>240000</v>
      </c>
      <c r="B57" s="422" t="s">
        <v>554</v>
      </c>
      <c r="C57" s="313">
        <f>SUM(C58:C59)</f>
        <v>0</v>
      </c>
      <c r="D57" s="303">
        <f>SUM(D58:D59)</f>
        <v>0</v>
      </c>
      <c r="E57" s="303">
        <f>SUM(E58:E59)</f>
        <v>0</v>
      </c>
      <c r="F57" s="308">
        <v>95.4</v>
      </c>
      <c r="G57" s="295">
        <f aca="true" t="shared" si="12" ref="G57:L57">SUM(G58:G59)</f>
        <v>35.4</v>
      </c>
      <c r="H57" s="296">
        <f t="shared" si="12"/>
        <v>0</v>
      </c>
      <c r="I57" s="296">
        <f t="shared" si="12"/>
        <v>60</v>
      </c>
      <c r="J57" s="303">
        <f t="shared" si="12"/>
        <v>0</v>
      </c>
      <c r="K57" s="303">
        <f t="shared" si="12"/>
        <v>0</v>
      </c>
      <c r="L57" s="297">
        <f t="shared" si="12"/>
        <v>0</v>
      </c>
      <c r="M57" s="308">
        <f t="shared" si="11"/>
        <v>95.4</v>
      </c>
      <c r="N57" s="32"/>
    </row>
    <row r="58" spans="1:14" ht="25.5" hidden="1" outlineLevel="1">
      <c r="A58" s="278">
        <v>240603</v>
      </c>
      <c r="B58" s="424" t="s">
        <v>601</v>
      </c>
      <c r="C58" s="242"/>
      <c r="D58" s="235"/>
      <c r="E58" s="235"/>
      <c r="F58" s="262">
        <f t="shared" si="4"/>
        <v>0</v>
      </c>
      <c r="G58" s="217"/>
      <c r="H58" s="218"/>
      <c r="I58" s="218"/>
      <c r="J58" s="218"/>
      <c r="K58" s="235"/>
      <c r="L58" s="299"/>
      <c r="M58" s="262">
        <f t="shared" si="11"/>
        <v>0</v>
      </c>
      <c r="N58" s="32"/>
    </row>
    <row r="59" spans="1:14" ht="27" customHeight="1" collapsed="1">
      <c r="A59" s="278" t="s">
        <v>495</v>
      </c>
      <c r="B59" s="519" t="s">
        <v>196</v>
      </c>
      <c r="C59" s="242"/>
      <c r="D59" s="235"/>
      <c r="E59" s="235"/>
      <c r="F59" s="262">
        <v>95.4</v>
      </c>
      <c r="G59" s="217">
        <v>35.4</v>
      </c>
      <c r="H59" s="218"/>
      <c r="I59" s="218">
        <v>60</v>
      </c>
      <c r="J59" s="218"/>
      <c r="K59" s="235"/>
      <c r="L59" s="299"/>
      <c r="M59" s="262">
        <f t="shared" si="11"/>
        <v>95.4</v>
      </c>
      <c r="N59" s="32"/>
    </row>
    <row r="60" spans="1:14" ht="12.75" hidden="1" outlineLevel="1">
      <c r="A60" s="280" t="s">
        <v>25</v>
      </c>
      <c r="B60" s="431" t="s">
        <v>338</v>
      </c>
      <c r="C60" s="242"/>
      <c r="D60" s="235"/>
      <c r="E60" s="235"/>
      <c r="F60" s="261">
        <f t="shared" si="4"/>
        <v>0</v>
      </c>
      <c r="G60" s="234"/>
      <c r="H60" s="235"/>
      <c r="I60" s="235"/>
      <c r="J60" s="235"/>
      <c r="K60" s="235"/>
      <c r="L60" s="241"/>
      <c r="M60" s="261">
        <f t="shared" si="11"/>
        <v>0</v>
      </c>
      <c r="N60" s="32"/>
    </row>
    <row r="61" spans="1:14" ht="12.75" hidden="1" outlineLevel="1">
      <c r="A61" s="278" t="s">
        <v>89</v>
      </c>
      <c r="B61" s="424" t="s">
        <v>339</v>
      </c>
      <c r="C61" s="242"/>
      <c r="D61" s="235"/>
      <c r="E61" s="235"/>
      <c r="F61" s="261">
        <f aca="true" t="shared" si="13" ref="F61:F76">+G61+J61</f>
        <v>0</v>
      </c>
      <c r="G61" s="234"/>
      <c r="H61" s="235"/>
      <c r="I61" s="235"/>
      <c r="J61" s="235"/>
      <c r="K61" s="235"/>
      <c r="L61" s="241"/>
      <c r="M61" s="261">
        <f t="shared" si="11"/>
        <v>0</v>
      </c>
      <c r="N61" s="32"/>
    </row>
    <row r="62" spans="1:14" ht="12.75" hidden="1" outlineLevel="1">
      <c r="A62" s="280" t="s">
        <v>26</v>
      </c>
      <c r="B62" s="431" t="s">
        <v>554</v>
      </c>
      <c r="C62" s="242"/>
      <c r="D62" s="235"/>
      <c r="E62" s="235"/>
      <c r="F62" s="261">
        <f t="shared" si="13"/>
        <v>0</v>
      </c>
      <c r="G62" s="234"/>
      <c r="H62" s="235"/>
      <c r="I62" s="235"/>
      <c r="J62" s="235"/>
      <c r="K62" s="235"/>
      <c r="L62" s="241"/>
      <c r="M62" s="242">
        <f t="shared" si="11"/>
        <v>0</v>
      </c>
      <c r="N62" s="32"/>
    </row>
    <row r="63" spans="1:14" ht="25.5" hidden="1" outlineLevel="1">
      <c r="A63" s="278" t="s">
        <v>28</v>
      </c>
      <c r="B63" s="424" t="s">
        <v>576</v>
      </c>
      <c r="C63" s="242"/>
      <c r="D63" s="235"/>
      <c r="E63" s="235"/>
      <c r="F63" s="261">
        <f t="shared" si="13"/>
        <v>0</v>
      </c>
      <c r="G63" s="234"/>
      <c r="H63" s="235"/>
      <c r="I63" s="235"/>
      <c r="J63" s="235"/>
      <c r="K63" s="235"/>
      <c r="L63" s="241"/>
      <c r="M63" s="261">
        <f t="shared" si="11"/>
        <v>0</v>
      </c>
      <c r="N63" s="32"/>
    </row>
    <row r="64" spans="1:14" ht="12.75" hidden="1" outlineLevel="1">
      <c r="A64" s="278" t="s">
        <v>27</v>
      </c>
      <c r="B64" s="424" t="s">
        <v>578</v>
      </c>
      <c r="C64" s="242"/>
      <c r="D64" s="235"/>
      <c r="E64" s="235"/>
      <c r="F64" s="261">
        <f t="shared" si="13"/>
        <v>0</v>
      </c>
      <c r="G64" s="234"/>
      <c r="H64" s="235"/>
      <c r="I64" s="235"/>
      <c r="J64" s="235"/>
      <c r="K64" s="235"/>
      <c r="L64" s="241"/>
      <c r="M64" s="261">
        <f t="shared" si="11"/>
        <v>0</v>
      </c>
      <c r="N64" s="32"/>
    </row>
    <row r="65" spans="1:14" ht="12.75" collapsed="1">
      <c r="A65" s="281">
        <v>250000</v>
      </c>
      <c r="B65" s="432" t="s">
        <v>402</v>
      </c>
      <c r="C65" s="313">
        <f>C66+C71+C72</f>
        <v>63.879000000000005</v>
      </c>
      <c r="D65" s="303">
        <f>SUM(D66:D76)-D67</f>
        <v>0</v>
      </c>
      <c r="E65" s="303">
        <f>SUM(E66:E76)-E67</f>
        <v>0</v>
      </c>
      <c r="F65" s="313">
        <f t="shared" si="13"/>
        <v>0</v>
      </c>
      <c r="G65" s="302">
        <f aca="true" t="shared" si="14" ref="G65:L65">SUM(G66:G76)-G67</f>
        <v>0</v>
      </c>
      <c r="H65" s="303">
        <f t="shared" si="14"/>
        <v>0</v>
      </c>
      <c r="I65" s="303">
        <f t="shared" si="14"/>
        <v>0</v>
      </c>
      <c r="J65" s="303">
        <f t="shared" si="14"/>
        <v>0</v>
      </c>
      <c r="K65" s="303">
        <f t="shared" si="14"/>
        <v>0</v>
      </c>
      <c r="L65" s="304">
        <f t="shared" si="14"/>
        <v>0</v>
      </c>
      <c r="M65" s="314">
        <f t="shared" si="11"/>
        <v>63.879000000000005</v>
      </c>
      <c r="N65" s="32"/>
    </row>
    <row r="66" spans="1:14" ht="12.75">
      <c r="A66" s="202">
        <v>250102</v>
      </c>
      <c r="B66" s="425" t="s">
        <v>229</v>
      </c>
      <c r="C66" s="242"/>
      <c r="D66" s="235"/>
      <c r="E66" s="235"/>
      <c r="F66" s="242">
        <f t="shared" si="13"/>
        <v>0</v>
      </c>
      <c r="G66" s="217"/>
      <c r="H66" s="235"/>
      <c r="I66" s="235"/>
      <c r="J66" s="235"/>
      <c r="K66" s="235"/>
      <c r="L66" s="241"/>
      <c r="M66" s="261">
        <f t="shared" si="11"/>
        <v>0</v>
      </c>
      <c r="N66" s="32"/>
    </row>
    <row r="67" spans="1:14" s="28" customFormat="1" ht="25.5" hidden="1" outlineLevel="1">
      <c r="A67" s="282"/>
      <c r="B67" s="433" t="s">
        <v>403</v>
      </c>
      <c r="C67" s="254"/>
      <c r="D67" s="255"/>
      <c r="E67" s="255"/>
      <c r="F67" s="254">
        <f t="shared" si="13"/>
        <v>0</v>
      </c>
      <c r="G67" s="315"/>
      <c r="H67" s="255"/>
      <c r="I67" s="255"/>
      <c r="J67" s="255"/>
      <c r="K67" s="255"/>
      <c r="L67" s="256"/>
      <c r="M67" s="257">
        <f t="shared" si="11"/>
        <v>0</v>
      </c>
      <c r="N67" s="32"/>
    </row>
    <row r="68" spans="1:14" ht="27.75" customHeight="1" hidden="1" outlineLevel="1" collapsed="1">
      <c r="A68" s="202" t="s">
        <v>230</v>
      </c>
      <c r="B68" s="425" t="s">
        <v>405</v>
      </c>
      <c r="C68" s="242"/>
      <c r="D68" s="218"/>
      <c r="E68" s="218"/>
      <c r="F68" s="242">
        <f t="shared" si="13"/>
        <v>0</v>
      </c>
      <c r="G68" s="217"/>
      <c r="H68" s="218"/>
      <c r="I68" s="218"/>
      <c r="J68" s="218"/>
      <c r="K68" s="218"/>
      <c r="L68" s="219"/>
      <c r="M68" s="261">
        <f t="shared" si="11"/>
        <v>0</v>
      </c>
      <c r="N68" s="32"/>
    </row>
    <row r="69" spans="1:14" ht="38.25" hidden="1" outlineLevel="1">
      <c r="A69" s="278" t="s">
        <v>577</v>
      </c>
      <c r="B69" s="424" t="s">
        <v>359</v>
      </c>
      <c r="C69" s="242"/>
      <c r="D69" s="218"/>
      <c r="E69" s="218"/>
      <c r="F69" s="298">
        <f t="shared" si="13"/>
        <v>0</v>
      </c>
      <c r="G69" s="306"/>
      <c r="H69" s="227"/>
      <c r="I69" s="227"/>
      <c r="J69" s="218"/>
      <c r="K69" s="218"/>
      <c r="L69" s="263"/>
      <c r="M69" s="262">
        <f t="shared" si="11"/>
        <v>0</v>
      </c>
      <c r="N69" s="32"/>
    </row>
    <row r="70" spans="1:14" ht="54" customHeight="1" outlineLevel="1">
      <c r="A70" s="278" t="s">
        <v>494</v>
      </c>
      <c r="B70" s="518" t="s">
        <v>195</v>
      </c>
      <c r="C70" s="242"/>
      <c r="D70" s="218"/>
      <c r="E70" s="218"/>
      <c r="F70" s="298"/>
      <c r="G70" s="306"/>
      <c r="H70" s="227"/>
      <c r="I70" s="227"/>
      <c r="J70" s="218"/>
      <c r="K70" s="218"/>
      <c r="L70" s="263"/>
      <c r="M70" s="261">
        <f t="shared" si="11"/>
        <v>0</v>
      </c>
      <c r="N70" s="32"/>
    </row>
    <row r="71" spans="1:14" ht="18.75" customHeight="1" outlineLevel="1">
      <c r="A71" s="278" t="s">
        <v>232</v>
      </c>
      <c r="B71" s="518" t="s">
        <v>518</v>
      </c>
      <c r="C71" s="242">
        <v>46.438</v>
      </c>
      <c r="D71" s="218"/>
      <c r="E71" s="218"/>
      <c r="F71" s="298"/>
      <c r="G71" s="306"/>
      <c r="H71" s="227"/>
      <c r="I71" s="227"/>
      <c r="J71" s="218"/>
      <c r="K71" s="218"/>
      <c r="L71" s="263"/>
      <c r="M71" s="261">
        <f>C71</f>
        <v>46.438</v>
      </c>
      <c r="N71" s="32"/>
    </row>
    <row r="72" spans="1:14" ht="13.5" customHeight="1">
      <c r="A72" s="274" t="s">
        <v>57</v>
      </c>
      <c r="B72" s="426" t="s">
        <v>603</v>
      </c>
      <c r="C72" s="216">
        <v>17.441</v>
      </c>
      <c r="D72" s="218"/>
      <c r="E72" s="218"/>
      <c r="F72" s="298">
        <f t="shared" si="13"/>
        <v>0</v>
      </c>
      <c r="G72" s="217"/>
      <c r="H72" s="218"/>
      <c r="I72" s="218"/>
      <c r="J72" s="218"/>
      <c r="K72" s="218">
        <f>+J72</f>
        <v>0</v>
      </c>
      <c r="L72" s="219"/>
      <c r="M72" s="262">
        <f t="shared" si="11"/>
        <v>17.441</v>
      </c>
      <c r="N72" s="32"/>
    </row>
    <row r="73" spans="1:14" ht="38.25" hidden="1" outlineLevel="1">
      <c r="A73" s="274">
        <v>250908</v>
      </c>
      <c r="B73" s="426" t="s">
        <v>179</v>
      </c>
      <c r="C73" s="242"/>
      <c r="D73" s="218"/>
      <c r="E73" s="218"/>
      <c r="F73" s="305">
        <f t="shared" si="13"/>
        <v>0</v>
      </c>
      <c r="G73" s="306"/>
      <c r="H73" s="227"/>
      <c r="I73" s="227"/>
      <c r="J73" s="218"/>
      <c r="K73" s="218"/>
      <c r="L73" s="263"/>
      <c r="M73" s="262">
        <f t="shared" si="11"/>
        <v>0</v>
      </c>
      <c r="N73" s="32"/>
    </row>
    <row r="74" spans="1:14" ht="38.25" hidden="1" outlineLevel="1">
      <c r="A74" s="274" t="s">
        <v>180</v>
      </c>
      <c r="B74" s="434" t="s">
        <v>181</v>
      </c>
      <c r="C74" s="242"/>
      <c r="D74" s="218"/>
      <c r="E74" s="218"/>
      <c r="F74" s="305">
        <f t="shared" si="13"/>
        <v>0</v>
      </c>
      <c r="G74" s="306"/>
      <c r="H74" s="227"/>
      <c r="I74" s="227"/>
      <c r="J74" s="218"/>
      <c r="K74" s="218"/>
      <c r="L74" s="263"/>
      <c r="M74" s="262">
        <f t="shared" si="11"/>
        <v>0</v>
      </c>
      <c r="N74" s="32"/>
    </row>
    <row r="75" spans="1:14" ht="25.5" hidden="1" outlineLevel="1">
      <c r="A75" s="274" t="s">
        <v>182</v>
      </c>
      <c r="B75" s="434" t="s">
        <v>406</v>
      </c>
      <c r="C75" s="242"/>
      <c r="D75" s="218"/>
      <c r="E75" s="218"/>
      <c r="F75" s="305">
        <f t="shared" si="13"/>
        <v>0</v>
      </c>
      <c r="G75" s="306"/>
      <c r="H75" s="227"/>
      <c r="I75" s="227"/>
      <c r="J75" s="218"/>
      <c r="K75" s="218"/>
      <c r="L75" s="263"/>
      <c r="M75" s="262">
        <f t="shared" si="11"/>
        <v>0</v>
      </c>
      <c r="N75" s="32"/>
    </row>
    <row r="76" spans="1:14" ht="43.5" customHeight="1" hidden="1" outlineLevel="1">
      <c r="A76" s="274" t="s">
        <v>407</v>
      </c>
      <c r="B76" s="426" t="s">
        <v>408</v>
      </c>
      <c r="C76" s="216"/>
      <c r="D76" s="218"/>
      <c r="E76" s="218"/>
      <c r="F76" s="305">
        <f t="shared" si="13"/>
        <v>0</v>
      </c>
      <c r="G76" s="306"/>
      <c r="H76" s="227"/>
      <c r="I76" s="227"/>
      <c r="J76" s="218"/>
      <c r="K76" s="218"/>
      <c r="L76" s="263"/>
      <c r="M76" s="307">
        <f t="shared" si="11"/>
        <v>0</v>
      </c>
      <c r="N76" s="32"/>
    </row>
    <row r="77" spans="1:14" ht="12.75" collapsed="1">
      <c r="A77" s="274"/>
      <c r="B77" s="422" t="s">
        <v>493</v>
      </c>
      <c r="C77" s="573">
        <f>C15+C18+C23+C34+C35+C37+C39+C55+C65+C33+C36</f>
        <v>8297.239000000001</v>
      </c>
      <c r="D77" s="573">
        <f>D14+D16+D19+D34+D35+D37+D38+D65+D36</f>
        <v>6035.014000000001</v>
      </c>
      <c r="E77" s="573">
        <f>E14+E16+E37+E38</f>
        <v>1230.8439999999998</v>
      </c>
      <c r="F77" s="573">
        <f>F14+F16+F38+F37+F43+F56+F57+F55+F42</f>
        <v>2472.1970000000006</v>
      </c>
      <c r="G77" s="316">
        <v>954.238</v>
      </c>
      <c r="H77" s="573">
        <f>H14+H16+H43+H57</f>
        <v>0.418</v>
      </c>
      <c r="I77" s="316">
        <v>86.4</v>
      </c>
      <c r="J77" s="573">
        <f>J14+J16+J38+J43+J42+J37</f>
        <v>1342.3659999999998</v>
      </c>
      <c r="K77" s="573">
        <f>K14+K16+K38+K43+K42+K37</f>
        <v>1342.3659999999998</v>
      </c>
      <c r="L77" s="316">
        <f>L14+L16+L43+L57</f>
        <v>0</v>
      </c>
      <c r="M77" s="316">
        <f>C77+F77</f>
        <v>10769.436000000002</v>
      </c>
      <c r="N77" s="32"/>
    </row>
    <row r="78" spans="1:14" ht="12.75" hidden="1" outlineLevel="1">
      <c r="A78" s="286"/>
      <c r="B78" s="29"/>
      <c r="C78" s="595" t="e">
        <f>+доходи!#REF!-КФК!#REF!-кредитув!L46-джерела!C20</f>
        <v>#REF!</v>
      </c>
      <c r="D78" s="95">
        <f>+'[1]проект'!$AA$296+130.66</f>
        <v>743964.2160000001</v>
      </c>
      <c r="E78" s="95">
        <f>+'[1]проект'!$BQ$296</f>
        <v>137386.87099999998</v>
      </c>
      <c r="F78" s="358" t="e">
        <f>+доходи!#REF!-КФК!#REF!-кредитув!M46+джерела!D21</f>
        <v>#REF!</v>
      </c>
      <c r="G78" s="30"/>
      <c r="H78" s="30"/>
      <c r="I78" s="30"/>
      <c r="J78" s="30"/>
      <c r="K78" s="30" t="e">
        <f>+доходи!#REF!+джерела!E21-КФК!#REF!-кредитув!N46</f>
        <v>#REF!</v>
      </c>
      <c r="L78" s="31" t="e">
        <f>+#REF!-джерела!C20</f>
        <v>#REF!</v>
      </c>
      <c r="M78" s="358" t="e">
        <f>+доходи!#REF!-#REF!-кредитув!O46-джерела!F16</f>
        <v>#REF!</v>
      </c>
      <c r="N78" s="32"/>
    </row>
    <row r="79" spans="1:13" ht="12.75" hidden="1" outlineLevel="1">
      <c r="A79" s="286"/>
      <c r="B79" s="29"/>
      <c r="C79" s="596">
        <v>3036829.8</v>
      </c>
      <c r="D79" s="600" t="e">
        <f>+D78-#REF!</f>
        <v>#REF!</v>
      </c>
      <c r="E79" s="600" t="e">
        <f>+E78-#REF!</f>
        <v>#REF!</v>
      </c>
      <c r="F79" s="31"/>
      <c r="G79" s="30"/>
      <c r="H79" s="30"/>
      <c r="I79" s="30"/>
      <c r="J79" s="30"/>
      <c r="K79" s="31"/>
      <c r="L79" s="31"/>
      <c r="M79" s="31"/>
    </row>
    <row r="80" spans="1:13" ht="12.75" hidden="1" outlineLevel="1">
      <c r="A80" s="286"/>
      <c r="B80" s="29"/>
      <c r="C80" s="597" t="e">
        <f>+C79-#REF!-джерела!C12</f>
        <v>#REF!</v>
      </c>
      <c r="D80" s="95"/>
      <c r="E80" s="95"/>
      <c r="F80" s="31"/>
      <c r="G80" s="30"/>
      <c r="H80" s="30"/>
      <c r="I80" s="30"/>
      <c r="J80" s="30"/>
      <c r="K80" s="31"/>
      <c r="L80" s="31"/>
      <c r="M80" s="338"/>
    </row>
    <row r="81" spans="1:13" ht="12.75" hidden="1" outlineLevel="1">
      <c r="A81" s="286"/>
      <c r="B81" s="29"/>
      <c r="C81" s="598" t="e">
        <f>+C80-C78</f>
        <v>#REF!</v>
      </c>
      <c r="D81" s="600"/>
      <c r="E81" s="600"/>
      <c r="F81" s="31"/>
      <c r="G81" s="30"/>
      <c r="H81" s="30"/>
      <c r="I81" s="30"/>
      <c r="J81" s="30"/>
      <c r="K81" s="31"/>
      <c r="L81" s="31"/>
      <c r="M81" s="31"/>
    </row>
    <row r="82" spans="2:13" ht="18" collapsed="1">
      <c r="B82" s="293"/>
      <c r="C82" s="578"/>
      <c r="D82" s="578"/>
      <c r="E82" s="578"/>
      <c r="F82" s="32"/>
      <c r="G82" s="32"/>
      <c r="H82" s="32"/>
      <c r="I82" s="32"/>
      <c r="J82" s="32"/>
      <c r="K82" s="32"/>
      <c r="L82" s="32"/>
      <c r="M82" s="32"/>
    </row>
    <row r="83" spans="2:13" ht="12.75">
      <c r="B83" s="571" t="s">
        <v>489</v>
      </c>
      <c r="C83" s="578"/>
      <c r="D83" s="578"/>
      <c r="E83" s="578"/>
      <c r="F83" s="607" t="s">
        <v>490</v>
      </c>
      <c r="G83" s="607"/>
      <c r="H83" s="32"/>
      <c r="I83" s="32"/>
      <c r="J83" s="32"/>
      <c r="K83" s="32"/>
      <c r="L83" s="32"/>
      <c r="M83" s="32"/>
    </row>
    <row r="84" ht="12.75">
      <c r="F84" s="32"/>
    </row>
    <row r="85" spans="3:6" ht="12.75">
      <c r="C85" s="578"/>
      <c r="E85" s="578"/>
      <c r="F85" s="32"/>
    </row>
  </sheetData>
  <sheetProtection/>
  <mergeCells count="25">
    <mergeCell ref="H9:I9"/>
    <mergeCell ref="J1:M1"/>
    <mergeCell ref="J2:M2"/>
    <mergeCell ref="J3:M3"/>
    <mergeCell ref="J4:M4"/>
    <mergeCell ref="J9:J12"/>
    <mergeCell ref="A8:A12"/>
    <mergeCell ref="B8:B12"/>
    <mergeCell ref="C8:E8"/>
    <mergeCell ref="D10:D12"/>
    <mergeCell ref="C9:C12"/>
    <mergeCell ref="D9:E9"/>
    <mergeCell ref="F8:L8"/>
    <mergeCell ref="K10:K12"/>
    <mergeCell ref="K9:L9"/>
    <mergeCell ref="F83:G83"/>
    <mergeCell ref="M8:M12"/>
    <mergeCell ref="J5:M5"/>
    <mergeCell ref="B6:M6"/>
    <mergeCell ref="E10:E12"/>
    <mergeCell ref="H10:H12"/>
    <mergeCell ref="I10:I12"/>
    <mergeCell ref="F9:F12"/>
    <mergeCell ref="G9:G12"/>
    <mergeCell ref="L11:L12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zoomScale="80" zoomScaleNormal="80" zoomScalePageLayoutView="0" workbookViewId="0" topLeftCell="A1">
      <pane xSplit="2" ySplit="12" topLeftCell="C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9" sqref="B19"/>
    </sheetView>
  </sheetViews>
  <sheetFormatPr defaultColWidth="9.00390625" defaultRowHeight="12.75" outlineLevelRow="1"/>
  <cols>
    <col min="1" max="1" width="13.00390625" style="195" customWidth="1"/>
    <col min="2" max="2" width="37.125" style="41" customWidth="1"/>
    <col min="3" max="3" width="14.25390625" style="41" bestFit="1" customWidth="1"/>
    <col min="4" max="4" width="12.625" style="41" customWidth="1"/>
    <col min="5" max="5" width="13.00390625" style="41" customWidth="1"/>
    <col min="6" max="6" width="12.00390625" style="41" bestFit="1" customWidth="1"/>
    <col min="7" max="7" width="13.625" style="41" customWidth="1"/>
    <col min="8" max="8" width="13.375" style="41" customWidth="1"/>
    <col min="9" max="9" width="11.25390625" style="41" customWidth="1"/>
    <col min="10" max="10" width="12.375" style="41" customWidth="1"/>
    <col min="11" max="12" width="11.875" style="41" customWidth="1"/>
    <col min="13" max="13" width="14.25390625" style="41" bestFit="1" customWidth="1"/>
    <col min="14" max="14" width="11.375" style="41" bestFit="1" customWidth="1"/>
    <col min="15" max="15" width="12.375" style="41" bestFit="1" customWidth="1"/>
    <col min="16" max="16384" width="9.125" style="41" customWidth="1"/>
  </cols>
  <sheetData>
    <row r="1" spans="9:14" ht="16.5" customHeight="1">
      <c r="I1" s="108"/>
      <c r="J1" s="586" t="s">
        <v>424</v>
      </c>
      <c r="K1" s="586"/>
      <c r="L1" s="586"/>
      <c r="M1" s="586"/>
      <c r="N1" s="109"/>
    </row>
    <row r="2" spans="9:14" ht="12.75" customHeight="1">
      <c r="I2" s="383"/>
      <c r="J2" s="634" t="s">
        <v>275</v>
      </c>
      <c r="K2" s="634"/>
      <c r="L2" s="634"/>
      <c r="M2" s="634"/>
      <c r="N2" s="110"/>
    </row>
    <row r="3" spans="9:14" ht="14.25" customHeight="1">
      <c r="I3" s="382"/>
      <c r="J3" s="635" t="s">
        <v>540</v>
      </c>
      <c r="K3" s="635"/>
      <c r="L3" s="635"/>
      <c r="M3" s="635"/>
      <c r="N3" s="110"/>
    </row>
    <row r="4" spans="4:14" ht="15.75" customHeight="1">
      <c r="D4" s="437"/>
      <c r="I4" s="23"/>
      <c r="J4" s="601" t="s">
        <v>242</v>
      </c>
      <c r="K4" s="601"/>
      <c r="L4" s="601"/>
      <c r="M4" s="601"/>
      <c r="N4" s="111"/>
    </row>
    <row r="5" spans="10:14" ht="15.75" customHeight="1">
      <c r="J5" s="108"/>
      <c r="K5" s="108"/>
      <c r="L5" s="108"/>
      <c r="M5" s="108"/>
      <c r="N5" s="111"/>
    </row>
    <row r="6" spans="2:14" ht="42.75" customHeight="1">
      <c r="B6" s="629" t="s">
        <v>369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111"/>
    </row>
    <row r="7" spans="10:13" ht="12.75">
      <c r="J7" s="112"/>
      <c r="K7" s="113"/>
      <c r="L7" s="113"/>
      <c r="M7" s="114" t="s">
        <v>607</v>
      </c>
    </row>
    <row r="8" spans="1:13" s="193" customFormat="1" ht="60.75" customHeight="1">
      <c r="A8" s="364" t="s">
        <v>585</v>
      </c>
      <c r="B8" s="364" t="s">
        <v>586</v>
      </c>
      <c r="C8" s="590" t="s">
        <v>427</v>
      </c>
      <c r="D8" s="591"/>
      <c r="E8" s="591"/>
      <c r="F8" s="590" t="s">
        <v>280</v>
      </c>
      <c r="G8" s="591"/>
      <c r="H8" s="591"/>
      <c r="I8" s="591"/>
      <c r="J8" s="591"/>
      <c r="K8" s="591"/>
      <c r="L8" s="581"/>
      <c r="M8" s="630" t="s">
        <v>276</v>
      </c>
    </row>
    <row r="9" spans="1:13" s="193" customFormat="1" ht="27" customHeight="1">
      <c r="A9" s="626" t="s">
        <v>580</v>
      </c>
      <c r="B9" s="625" t="s">
        <v>579</v>
      </c>
      <c r="C9" s="631" t="s">
        <v>281</v>
      </c>
      <c r="D9" s="618" t="s">
        <v>282</v>
      </c>
      <c r="E9" s="618"/>
      <c r="F9" s="631" t="s">
        <v>281</v>
      </c>
      <c r="G9" s="580" t="s">
        <v>581</v>
      </c>
      <c r="H9" s="618" t="s">
        <v>282</v>
      </c>
      <c r="I9" s="618"/>
      <c r="J9" s="580" t="s">
        <v>584</v>
      </c>
      <c r="K9" s="618" t="s">
        <v>282</v>
      </c>
      <c r="L9" s="618"/>
      <c r="M9" s="630"/>
    </row>
    <row r="10" spans="1:13" s="193" customFormat="1" ht="25.5" customHeight="1">
      <c r="A10" s="627"/>
      <c r="B10" s="621"/>
      <c r="C10" s="632"/>
      <c r="D10" s="582" t="s">
        <v>582</v>
      </c>
      <c r="E10" s="582" t="s">
        <v>583</v>
      </c>
      <c r="F10" s="632"/>
      <c r="G10" s="619"/>
      <c r="H10" s="582" t="s">
        <v>582</v>
      </c>
      <c r="I10" s="582" t="s">
        <v>583</v>
      </c>
      <c r="J10" s="619"/>
      <c r="K10" s="621" t="s">
        <v>587</v>
      </c>
      <c r="L10" s="623" t="s">
        <v>145</v>
      </c>
      <c r="M10" s="630"/>
    </row>
    <row r="11" spans="1:13" s="193" customFormat="1" ht="102.75" customHeight="1">
      <c r="A11" s="628"/>
      <c r="B11" s="622"/>
      <c r="C11" s="633"/>
      <c r="D11" s="614"/>
      <c r="E11" s="614"/>
      <c r="F11" s="633"/>
      <c r="G11" s="620"/>
      <c r="H11" s="614"/>
      <c r="I11" s="614"/>
      <c r="J11" s="620"/>
      <c r="K11" s="622"/>
      <c r="L11" s="624"/>
      <c r="M11" s="630"/>
    </row>
    <row r="12" spans="1:13" s="194" customFormat="1" ht="15" customHeight="1">
      <c r="A12" s="272">
        <v>1</v>
      </c>
      <c r="B12" s="26">
        <v>2</v>
      </c>
      <c r="C12" s="26">
        <v>3</v>
      </c>
      <c r="D12" s="170">
        <v>4</v>
      </c>
      <c r="E12" s="170">
        <v>5</v>
      </c>
      <c r="F12" s="26" t="s">
        <v>143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 t="s">
        <v>146</v>
      </c>
    </row>
    <row r="13" spans="1:13" ht="29.25" customHeight="1">
      <c r="A13" s="197" t="s">
        <v>428</v>
      </c>
      <c r="B13" s="209" t="s">
        <v>193</v>
      </c>
      <c r="C13" s="222">
        <f aca="true" t="shared" si="0" ref="C13:M13">+C14+C18</f>
        <v>709.271</v>
      </c>
      <c r="D13" s="224">
        <f t="shared" si="0"/>
        <v>0</v>
      </c>
      <c r="E13" s="224">
        <f t="shared" si="0"/>
        <v>0</v>
      </c>
      <c r="F13" s="226">
        <f t="shared" si="0"/>
        <v>0</v>
      </c>
      <c r="G13" s="388">
        <f t="shared" si="0"/>
        <v>0</v>
      </c>
      <c r="H13" s="389">
        <f t="shared" si="0"/>
        <v>0</v>
      </c>
      <c r="I13" s="389">
        <f t="shared" si="0"/>
        <v>0</v>
      </c>
      <c r="J13" s="389">
        <f t="shared" si="0"/>
        <v>0</v>
      </c>
      <c r="K13" s="389">
        <f t="shared" si="0"/>
        <v>0</v>
      </c>
      <c r="L13" s="390">
        <f t="shared" si="0"/>
        <v>0</v>
      </c>
      <c r="M13" s="226">
        <f t="shared" si="0"/>
        <v>709.271</v>
      </c>
    </row>
    <row r="14" spans="1:13" ht="54" customHeight="1" hidden="1" outlineLevel="1">
      <c r="A14" s="196" t="s">
        <v>7</v>
      </c>
      <c r="B14" s="208" t="s">
        <v>6</v>
      </c>
      <c r="C14" s="216"/>
      <c r="D14" s="218"/>
      <c r="E14" s="218"/>
      <c r="F14" s="220">
        <f>+G14+J14</f>
        <v>0</v>
      </c>
      <c r="G14" s="217"/>
      <c r="H14" s="218"/>
      <c r="I14" s="218"/>
      <c r="J14" s="218"/>
      <c r="K14" s="218">
        <f>+K16</f>
        <v>0</v>
      </c>
      <c r="L14" s="219"/>
      <c r="M14" s="220">
        <f>+C14+F14</f>
        <v>0</v>
      </c>
    </row>
    <row r="15" spans="1:13" ht="12.75" hidden="1" outlineLevel="1">
      <c r="A15" s="196"/>
      <c r="B15" s="208" t="s">
        <v>566</v>
      </c>
      <c r="C15" s="216"/>
      <c r="D15" s="218"/>
      <c r="E15" s="218"/>
      <c r="F15" s="220"/>
      <c r="G15" s="217"/>
      <c r="H15" s="218"/>
      <c r="I15" s="218"/>
      <c r="J15" s="218"/>
      <c r="K15" s="218"/>
      <c r="L15" s="219"/>
      <c r="M15" s="220"/>
    </row>
    <row r="16" spans="1:13" ht="55.5" customHeight="1" hidden="1" outlineLevel="1">
      <c r="A16" s="196"/>
      <c r="B16" s="210" t="s">
        <v>90</v>
      </c>
      <c r="C16" s="216"/>
      <c r="D16" s="218"/>
      <c r="E16" s="218"/>
      <c r="F16" s="220"/>
      <c r="G16" s="217"/>
      <c r="H16" s="218"/>
      <c r="I16" s="218"/>
      <c r="J16" s="218"/>
      <c r="K16" s="218"/>
      <c r="L16" s="219"/>
      <c r="M16" s="220">
        <f>+C16+F16</f>
        <v>0</v>
      </c>
    </row>
    <row r="17" spans="1:13" ht="45.75" customHeight="1" hidden="1" outlineLevel="1">
      <c r="A17" s="196"/>
      <c r="B17" s="210" t="s">
        <v>415</v>
      </c>
      <c r="C17" s="216"/>
      <c r="D17" s="218"/>
      <c r="E17" s="218"/>
      <c r="F17" s="220"/>
      <c r="G17" s="217"/>
      <c r="H17" s="218"/>
      <c r="I17" s="218"/>
      <c r="J17" s="218"/>
      <c r="K17" s="218"/>
      <c r="L17" s="219"/>
      <c r="M17" s="220">
        <f>+C17+F17</f>
        <v>0</v>
      </c>
    </row>
    <row r="18" spans="1:13" ht="17.25" customHeight="1" collapsed="1">
      <c r="A18" s="196" t="s">
        <v>57</v>
      </c>
      <c r="B18" s="208" t="s">
        <v>603</v>
      </c>
      <c r="C18" s="216">
        <v>709.271</v>
      </c>
      <c r="D18" s="218"/>
      <c r="E18" s="218"/>
      <c r="F18" s="220">
        <f>+G18+J18</f>
        <v>0</v>
      </c>
      <c r="G18" s="217"/>
      <c r="H18" s="218"/>
      <c r="I18" s="218"/>
      <c r="J18" s="218"/>
      <c r="K18" s="218"/>
      <c r="L18" s="219"/>
      <c r="M18" s="220">
        <f>+C18+F18</f>
        <v>709.271</v>
      </c>
    </row>
    <row r="19" spans="1:13" ht="28.5" customHeight="1">
      <c r="A19" s="197" t="s">
        <v>430</v>
      </c>
      <c r="B19" s="209" t="s">
        <v>572</v>
      </c>
      <c r="C19" s="222">
        <f aca="true" t="shared" si="1" ref="C19:M19">SUM(C20:C29)</f>
        <v>29121.988999999998</v>
      </c>
      <c r="D19" s="224">
        <f t="shared" si="1"/>
        <v>12948.07</v>
      </c>
      <c r="E19" s="224">
        <f t="shared" si="1"/>
        <v>1232.446</v>
      </c>
      <c r="F19" s="226">
        <f t="shared" si="1"/>
        <v>1373.4279999999999</v>
      </c>
      <c r="G19" s="223">
        <f t="shared" si="1"/>
        <v>498.628</v>
      </c>
      <c r="H19" s="224">
        <f t="shared" si="1"/>
        <v>0</v>
      </c>
      <c r="I19" s="224">
        <f t="shared" si="1"/>
        <v>0</v>
      </c>
      <c r="J19" s="224">
        <f t="shared" si="1"/>
        <v>874.8</v>
      </c>
      <c r="K19" s="224">
        <f t="shared" si="1"/>
        <v>874.8</v>
      </c>
      <c r="L19" s="225">
        <f t="shared" si="1"/>
        <v>0</v>
      </c>
      <c r="M19" s="226">
        <f t="shared" si="1"/>
        <v>30495.416999999998</v>
      </c>
    </row>
    <row r="20" spans="1:13" ht="15.75" customHeight="1">
      <c r="A20" s="196" t="s">
        <v>605</v>
      </c>
      <c r="B20" s="208" t="s">
        <v>606</v>
      </c>
      <c r="C20" s="216">
        <v>14534.242</v>
      </c>
      <c r="D20" s="218">
        <v>6804.469</v>
      </c>
      <c r="E20" s="227">
        <v>1014.799</v>
      </c>
      <c r="F20" s="220">
        <f aca="true" t="shared" si="2" ref="F20:F69">+G20+J20</f>
        <v>386</v>
      </c>
      <c r="G20" s="217"/>
      <c r="H20" s="218"/>
      <c r="I20" s="227"/>
      <c r="J20" s="218">
        <v>386</v>
      </c>
      <c r="K20" s="218">
        <f>+J20</f>
        <v>386</v>
      </c>
      <c r="L20" s="219"/>
      <c r="M20" s="220">
        <f aca="true" t="shared" si="3" ref="M20:M29">+C20+F20</f>
        <v>14920.242</v>
      </c>
    </row>
    <row r="21" spans="1:13" ht="14.25" customHeight="1" hidden="1" outlineLevel="1">
      <c r="A21" s="196" t="s">
        <v>325</v>
      </c>
      <c r="B21" s="208" t="s">
        <v>432</v>
      </c>
      <c r="C21" s="216"/>
      <c r="D21" s="218"/>
      <c r="E21" s="218"/>
      <c r="F21" s="220">
        <f t="shared" si="2"/>
        <v>0</v>
      </c>
      <c r="G21" s="217"/>
      <c r="H21" s="218"/>
      <c r="I21" s="218"/>
      <c r="J21" s="218"/>
      <c r="K21" s="218"/>
      <c r="L21" s="219"/>
      <c r="M21" s="220">
        <f t="shared" si="3"/>
        <v>0</v>
      </c>
    </row>
    <row r="22" spans="1:13" ht="31.5" customHeight="1" collapsed="1">
      <c r="A22" s="196" t="s">
        <v>326</v>
      </c>
      <c r="B22" s="208" t="s">
        <v>327</v>
      </c>
      <c r="C22" s="216">
        <v>3309.631</v>
      </c>
      <c r="D22" s="218">
        <v>873.822</v>
      </c>
      <c r="E22" s="218">
        <v>74.238</v>
      </c>
      <c r="F22" s="220">
        <f t="shared" si="2"/>
        <v>0</v>
      </c>
      <c r="G22" s="217"/>
      <c r="H22" s="218"/>
      <c r="I22" s="218"/>
      <c r="J22" s="218"/>
      <c r="K22" s="218"/>
      <c r="L22" s="219"/>
      <c r="M22" s="220">
        <f t="shared" si="3"/>
        <v>3309.631</v>
      </c>
    </row>
    <row r="23" spans="1:13" ht="12.75" customHeight="1" hidden="1" outlineLevel="1">
      <c r="A23" s="196">
        <v>120400</v>
      </c>
      <c r="B23" s="208" t="s">
        <v>608</v>
      </c>
      <c r="C23" s="216"/>
      <c r="D23" s="218"/>
      <c r="E23" s="218"/>
      <c r="F23" s="220">
        <f>+G23+J23</f>
        <v>0</v>
      </c>
      <c r="G23" s="217"/>
      <c r="H23" s="218"/>
      <c r="I23" s="218"/>
      <c r="J23" s="218"/>
      <c r="K23" s="218"/>
      <c r="L23" s="219"/>
      <c r="M23" s="220">
        <f t="shared" si="3"/>
        <v>0</v>
      </c>
    </row>
    <row r="24" spans="1:13" ht="51" hidden="1" outlineLevel="1" collapsed="1">
      <c r="A24" s="196" t="s">
        <v>10</v>
      </c>
      <c r="B24" s="208" t="s">
        <v>429</v>
      </c>
      <c r="C24" s="216"/>
      <c r="D24" s="218"/>
      <c r="E24" s="227"/>
      <c r="F24" s="220">
        <f t="shared" si="2"/>
        <v>0</v>
      </c>
      <c r="G24" s="217"/>
      <c r="H24" s="218"/>
      <c r="I24" s="227"/>
      <c r="J24" s="218"/>
      <c r="K24" s="218"/>
      <c r="L24" s="219"/>
      <c r="M24" s="220">
        <f t="shared" si="3"/>
        <v>0</v>
      </c>
    </row>
    <row r="25" spans="1:13" ht="30" customHeight="1" collapsed="1">
      <c r="A25" s="196" t="s">
        <v>65</v>
      </c>
      <c r="B25" s="208" t="s">
        <v>433</v>
      </c>
      <c r="C25" s="216">
        <v>99.334</v>
      </c>
      <c r="D25" s="218"/>
      <c r="E25" s="218"/>
      <c r="F25" s="220">
        <f t="shared" si="2"/>
        <v>0</v>
      </c>
      <c r="G25" s="217"/>
      <c r="H25" s="218"/>
      <c r="I25" s="218"/>
      <c r="J25" s="218"/>
      <c r="K25" s="218"/>
      <c r="L25" s="219"/>
      <c r="M25" s="220">
        <f t="shared" si="3"/>
        <v>99.334</v>
      </c>
    </row>
    <row r="26" spans="1:13" ht="33" customHeight="1">
      <c r="A26" s="196" t="s">
        <v>307</v>
      </c>
      <c r="B26" s="208" t="s">
        <v>308</v>
      </c>
      <c r="C26" s="216">
        <v>729.232</v>
      </c>
      <c r="D26" s="218"/>
      <c r="E26" s="218"/>
      <c r="F26" s="220">
        <f t="shared" si="2"/>
        <v>0</v>
      </c>
      <c r="G26" s="217"/>
      <c r="H26" s="218"/>
      <c r="I26" s="218"/>
      <c r="J26" s="218"/>
      <c r="K26" s="218"/>
      <c r="L26" s="219"/>
      <c r="M26" s="220">
        <f t="shared" si="3"/>
        <v>729.232</v>
      </c>
    </row>
    <row r="27" spans="1:13" ht="51" hidden="1" outlineLevel="1" collapsed="1">
      <c r="A27" s="196" t="s">
        <v>577</v>
      </c>
      <c r="B27" s="208" t="s">
        <v>359</v>
      </c>
      <c r="C27" s="216"/>
      <c r="D27" s="218"/>
      <c r="E27" s="218"/>
      <c r="F27" s="220">
        <f t="shared" si="2"/>
        <v>0</v>
      </c>
      <c r="G27" s="217"/>
      <c r="H27" s="218"/>
      <c r="I27" s="218"/>
      <c r="J27" s="218"/>
      <c r="K27" s="218"/>
      <c r="L27" s="219"/>
      <c r="M27" s="220">
        <f t="shared" si="3"/>
        <v>0</v>
      </c>
    </row>
    <row r="28" spans="1:13" ht="57" customHeight="1" collapsed="1">
      <c r="A28" s="196" t="s">
        <v>379</v>
      </c>
      <c r="B28" s="210" t="s">
        <v>519</v>
      </c>
      <c r="C28" s="216"/>
      <c r="D28" s="218"/>
      <c r="E28" s="218"/>
      <c r="F28" s="220">
        <f>+G28+J28</f>
        <v>290.8</v>
      </c>
      <c r="G28" s="217"/>
      <c r="H28" s="218"/>
      <c r="I28" s="218"/>
      <c r="J28" s="218">
        <v>290.8</v>
      </c>
      <c r="K28" s="218">
        <f>+J28</f>
        <v>290.8</v>
      </c>
      <c r="L28" s="219"/>
      <c r="M28" s="220">
        <f t="shared" si="3"/>
        <v>290.8</v>
      </c>
    </row>
    <row r="29" spans="1:13" ht="15" customHeight="1">
      <c r="A29" s="196" t="s">
        <v>57</v>
      </c>
      <c r="B29" s="208" t="s">
        <v>603</v>
      </c>
      <c r="C29" s="216">
        <v>10449.55</v>
      </c>
      <c r="D29" s="218">
        <v>5269.779</v>
      </c>
      <c r="E29" s="218">
        <v>143.409</v>
      </c>
      <c r="F29" s="220">
        <f>+G29+J29</f>
        <v>696.6279999999999</v>
      </c>
      <c r="G29" s="217">
        <v>498.628</v>
      </c>
      <c r="H29" s="218"/>
      <c r="I29" s="218"/>
      <c r="J29" s="218">
        <v>198</v>
      </c>
      <c r="K29" s="218">
        <f>+J29</f>
        <v>198</v>
      </c>
      <c r="L29" s="219"/>
      <c r="M29" s="220">
        <f t="shared" si="3"/>
        <v>11146.178</v>
      </c>
    </row>
    <row r="30" spans="1:13" ht="27.75" customHeight="1">
      <c r="A30" s="197" t="s">
        <v>434</v>
      </c>
      <c r="B30" s="209" t="s">
        <v>610</v>
      </c>
      <c r="C30" s="229">
        <f aca="true" t="shared" si="4" ref="C30:M30">SUM(C31:C48)</f>
        <v>442758.3550000001</v>
      </c>
      <c r="D30" s="231">
        <f t="shared" si="4"/>
        <v>269213.00999999995</v>
      </c>
      <c r="E30" s="231">
        <f t="shared" si="4"/>
        <v>47633.717000000004</v>
      </c>
      <c r="F30" s="230">
        <f t="shared" si="4"/>
        <v>34272.905999999995</v>
      </c>
      <c r="G30" s="230">
        <f>SUM(G31:G48)</f>
        <v>27403.195</v>
      </c>
      <c r="H30" s="231">
        <f t="shared" si="4"/>
        <v>7231.9580000000005</v>
      </c>
      <c r="I30" s="231">
        <f t="shared" si="4"/>
        <v>1879.8500000000001</v>
      </c>
      <c r="J30" s="231">
        <f t="shared" si="4"/>
        <v>6869.711</v>
      </c>
      <c r="K30" s="231">
        <f t="shared" si="4"/>
        <v>3224.711</v>
      </c>
      <c r="L30" s="232">
        <f t="shared" si="4"/>
        <v>0</v>
      </c>
      <c r="M30" s="229">
        <f t="shared" si="4"/>
        <v>477031.261</v>
      </c>
    </row>
    <row r="31" spans="1:13" ht="41.25" customHeight="1">
      <c r="A31" s="196" t="s">
        <v>611</v>
      </c>
      <c r="B31" s="208" t="s">
        <v>435</v>
      </c>
      <c r="C31" s="216">
        <v>34182.081</v>
      </c>
      <c r="D31" s="218">
        <v>19635.559</v>
      </c>
      <c r="E31" s="218">
        <v>5914.242</v>
      </c>
      <c r="F31" s="220">
        <f t="shared" si="2"/>
        <v>573.467</v>
      </c>
      <c r="G31" s="217"/>
      <c r="H31" s="218"/>
      <c r="I31" s="218"/>
      <c r="J31" s="218">
        <v>573.467</v>
      </c>
      <c r="K31" s="218">
        <f>+J31</f>
        <v>573.467</v>
      </c>
      <c r="L31" s="219"/>
      <c r="M31" s="220">
        <f aca="true" t="shared" si="5" ref="M31:M48">+C31+F31</f>
        <v>34755.547999999995</v>
      </c>
    </row>
    <row r="32" spans="1:13" ht="41.25" customHeight="1">
      <c r="A32" s="196" t="s">
        <v>613</v>
      </c>
      <c r="B32" s="208" t="s">
        <v>436</v>
      </c>
      <c r="C32" s="216">
        <v>25653.181</v>
      </c>
      <c r="D32" s="218">
        <v>16308.926</v>
      </c>
      <c r="E32" s="218">
        <v>3409.497</v>
      </c>
      <c r="F32" s="220">
        <f t="shared" si="2"/>
        <v>262.121</v>
      </c>
      <c r="G32" s="217"/>
      <c r="H32" s="218"/>
      <c r="I32" s="218"/>
      <c r="J32" s="218">
        <v>262.121</v>
      </c>
      <c r="K32" s="218">
        <f>+J32</f>
        <v>262.121</v>
      </c>
      <c r="L32" s="219"/>
      <c r="M32" s="220">
        <f t="shared" si="5"/>
        <v>25915.302</v>
      </c>
    </row>
    <row r="33" spans="1:13" ht="29.25" customHeight="1">
      <c r="A33" s="196" t="s">
        <v>614</v>
      </c>
      <c r="B33" s="208" t="s">
        <v>437</v>
      </c>
      <c r="C33" s="216">
        <v>6489.858</v>
      </c>
      <c r="D33" s="218">
        <v>4124.388</v>
      </c>
      <c r="E33" s="218">
        <v>586.301</v>
      </c>
      <c r="F33" s="220">
        <f t="shared" si="2"/>
        <v>259.68</v>
      </c>
      <c r="G33" s="217"/>
      <c r="H33" s="218"/>
      <c r="I33" s="218"/>
      <c r="J33" s="218">
        <v>259.68</v>
      </c>
      <c r="K33" s="218">
        <f>+J33</f>
        <v>259.68</v>
      </c>
      <c r="L33" s="219"/>
      <c r="M33" s="220">
        <f t="shared" si="5"/>
        <v>6749.5380000000005</v>
      </c>
    </row>
    <row r="34" spans="1:13" ht="54.75" customHeight="1">
      <c r="A34" s="196" t="s">
        <v>615</v>
      </c>
      <c r="B34" s="208" t="s">
        <v>439</v>
      </c>
      <c r="C34" s="216">
        <v>60780.657</v>
      </c>
      <c r="D34" s="218">
        <v>44505.258</v>
      </c>
      <c r="E34" s="218">
        <v>6891.962</v>
      </c>
      <c r="F34" s="220">
        <f t="shared" si="2"/>
        <v>934.632</v>
      </c>
      <c r="G34" s="217"/>
      <c r="H34" s="218"/>
      <c r="I34" s="218"/>
      <c r="J34" s="218">
        <v>934.632</v>
      </c>
      <c r="K34" s="218">
        <f>+J34</f>
        <v>934.632</v>
      </c>
      <c r="L34" s="219"/>
      <c r="M34" s="220">
        <f t="shared" si="5"/>
        <v>61715.289</v>
      </c>
    </row>
    <row r="35" spans="1:13" ht="112.5" customHeight="1">
      <c r="A35" s="196" t="s">
        <v>2</v>
      </c>
      <c r="B35" s="208" t="s">
        <v>440</v>
      </c>
      <c r="C35" s="216">
        <v>30031.757</v>
      </c>
      <c r="D35" s="218">
        <v>17906.628</v>
      </c>
      <c r="E35" s="218">
        <v>3701.678</v>
      </c>
      <c r="F35" s="220">
        <f t="shared" si="2"/>
        <v>954.332</v>
      </c>
      <c r="G35" s="217">
        <v>7.467</v>
      </c>
      <c r="H35" s="218"/>
      <c r="I35" s="218"/>
      <c r="J35" s="218">
        <f>9.5+937.365</f>
        <v>946.865</v>
      </c>
      <c r="K35" s="218">
        <v>937.365</v>
      </c>
      <c r="L35" s="219"/>
      <c r="M35" s="220">
        <f t="shared" si="5"/>
        <v>30986.089</v>
      </c>
    </row>
    <row r="36" spans="1:13" ht="25.5">
      <c r="A36" s="196" t="s">
        <v>9</v>
      </c>
      <c r="B36" s="208" t="s">
        <v>441</v>
      </c>
      <c r="C36" s="216">
        <f>7116.499</f>
        <v>7116.499</v>
      </c>
      <c r="D36" s="218">
        <v>3393.274</v>
      </c>
      <c r="E36" s="218">
        <v>604.76</v>
      </c>
      <c r="F36" s="220">
        <f t="shared" si="2"/>
        <v>7871.485</v>
      </c>
      <c r="G36" s="217">
        <v>7329.776</v>
      </c>
      <c r="H36" s="218">
        <f>1393.506+507.236</f>
        <v>1900.7420000000002</v>
      </c>
      <c r="I36" s="218">
        <v>389.007</v>
      </c>
      <c r="J36" s="218">
        <f>457+84.709</f>
        <v>541.7090000000001</v>
      </c>
      <c r="K36" s="218">
        <v>84.709</v>
      </c>
      <c r="L36" s="219"/>
      <c r="M36" s="220">
        <f t="shared" si="5"/>
        <v>14987.984</v>
      </c>
    </row>
    <row r="37" spans="1:13" ht="12.75">
      <c r="A37" s="196" t="s">
        <v>112</v>
      </c>
      <c r="B37" s="208" t="s">
        <v>113</v>
      </c>
      <c r="C37" s="216">
        <v>260197.48</v>
      </c>
      <c r="D37" s="218">
        <v>155358.297</v>
      </c>
      <c r="E37" s="218">
        <v>25981.478</v>
      </c>
      <c r="F37" s="220">
        <f>+G37+J37</f>
        <v>23054.097</v>
      </c>
      <c r="G37" s="217">
        <v>19875.597</v>
      </c>
      <c r="H37" s="218">
        <f>3849.95+1401.382</f>
        <v>5251.332</v>
      </c>
      <c r="I37" s="218">
        <v>1466.2</v>
      </c>
      <c r="J37" s="218">
        <v>3178.5</v>
      </c>
      <c r="K37" s="218"/>
      <c r="L37" s="219"/>
      <c r="M37" s="220">
        <f>+C37+F37</f>
        <v>283251.577</v>
      </c>
    </row>
    <row r="38" spans="1:13" ht="57.75" customHeight="1">
      <c r="A38" s="196" t="s">
        <v>10</v>
      </c>
      <c r="B38" s="208" t="s">
        <v>429</v>
      </c>
      <c r="C38" s="216">
        <v>7123.491</v>
      </c>
      <c r="D38" s="218">
        <v>6128.899</v>
      </c>
      <c r="E38" s="218">
        <v>468.102</v>
      </c>
      <c r="F38" s="220">
        <f t="shared" si="2"/>
        <v>279.52</v>
      </c>
      <c r="G38" s="217">
        <v>169.355</v>
      </c>
      <c r="H38" s="218">
        <f>58.566+21.318</f>
        <v>79.884</v>
      </c>
      <c r="I38" s="218">
        <v>24.643</v>
      </c>
      <c r="J38" s="218">
        <v>110.165</v>
      </c>
      <c r="K38" s="218">
        <v>110.165</v>
      </c>
      <c r="L38" s="219"/>
      <c r="M38" s="220">
        <f t="shared" si="5"/>
        <v>7403.011</v>
      </c>
    </row>
    <row r="39" spans="1:13" ht="30" customHeight="1">
      <c r="A39" s="196" t="s">
        <v>11</v>
      </c>
      <c r="B39" s="208" t="s">
        <v>12</v>
      </c>
      <c r="C39" s="216">
        <f>451.433</f>
        <v>451.433</v>
      </c>
      <c r="D39" s="218">
        <v>195.746</v>
      </c>
      <c r="E39" s="218"/>
      <c r="F39" s="220">
        <f t="shared" si="2"/>
        <v>30</v>
      </c>
      <c r="G39" s="217"/>
      <c r="H39" s="218"/>
      <c r="I39" s="218"/>
      <c r="J39" s="218">
        <v>30</v>
      </c>
      <c r="K39" s="218">
        <v>30</v>
      </c>
      <c r="L39" s="219"/>
      <c r="M39" s="220">
        <f t="shared" si="5"/>
        <v>481.433</v>
      </c>
    </row>
    <row r="40" spans="1:13" ht="27.75" customHeight="1">
      <c r="A40" s="196" t="s">
        <v>15</v>
      </c>
      <c r="B40" s="208" t="s">
        <v>442</v>
      </c>
      <c r="C40" s="216">
        <v>679.014</v>
      </c>
      <c r="D40" s="218">
        <v>504.866</v>
      </c>
      <c r="E40" s="218">
        <v>8.855</v>
      </c>
      <c r="F40" s="220">
        <f t="shared" si="2"/>
        <v>3.2</v>
      </c>
      <c r="G40" s="217"/>
      <c r="H40" s="218"/>
      <c r="I40" s="218"/>
      <c r="J40" s="218">
        <v>3.2</v>
      </c>
      <c r="K40" s="218">
        <f>+J40</f>
        <v>3.2</v>
      </c>
      <c r="L40" s="219"/>
      <c r="M40" s="220">
        <f t="shared" si="5"/>
        <v>682.214</v>
      </c>
    </row>
    <row r="41" spans="1:13" ht="15" customHeight="1">
      <c r="A41" s="196" t="s">
        <v>13</v>
      </c>
      <c r="B41" s="208" t="s">
        <v>14</v>
      </c>
      <c r="C41" s="216">
        <v>620.852</v>
      </c>
      <c r="D41" s="218">
        <v>590.374</v>
      </c>
      <c r="E41" s="218">
        <v>16.533</v>
      </c>
      <c r="F41" s="220">
        <f t="shared" si="2"/>
        <v>0</v>
      </c>
      <c r="G41" s="217"/>
      <c r="H41" s="218"/>
      <c r="I41" s="218"/>
      <c r="J41" s="218"/>
      <c r="K41" s="218"/>
      <c r="L41" s="219"/>
      <c r="M41" s="220">
        <f t="shared" si="5"/>
        <v>620.852</v>
      </c>
    </row>
    <row r="42" spans="1:13" ht="15" customHeight="1">
      <c r="A42" s="196" t="s">
        <v>16</v>
      </c>
      <c r="B42" s="208" t="s">
        <v>17</v>
      </c>
      <c r="C42" s="216">
        <v>700.672</v>
      </c>
      <c r="D42" s="218">
        <v>560.795</v>
      </c>
      <c r="E42" s="218">
        <v>50.309</v>
      </c>
      <c r="F42" s="220">
        <f t="shared" si="2"/>
        <v>29.372</v>
      </c>
      <c r="G42" s="217"/>
      <c r="H42" s="218"/>
      <c r="I42" s="218"/>
      <c r="J42" s="218">
        <v>29.372</v>
      </c>
      <c r="K42" s="218">
        <v>29.372</v>
      </c>
      <c r="L42" s="219"/>
      <c r="M42" s="220">
        <f t="shared" si="5"/>
        <v>730.044</v>
      </c>
    </row>
    <row r="43" spans="1:13" ht="15" customHeight="1" hidden="1" outlineLevel="1">
      <c r="A43" s="196" t="s">
        <v>555</v>
      </c>
      <c r="B43" s="208" t="s">
        <v>556</v>
      </c>
      <c r="C43" s="216"/>
      <c r="D43" s="218"/>
      <c r="E43" s="218"/>
      <c r="F43" s="220">
        <f t="shared" si="2"/>
        <v>0</v>
      </c>
      <c r="G43" s="217"/>
      <c r="H43" s="218"/>
      <c r="I43" s="218"/>
      <c r="J43" s="218"/>
      <c r="K43" s="218"/>
      <c r="L43" s="219"/>
      <c r="M43" s="220">
        <f t="shared" si="5"/>
        <v>0</v>
      </c>
    </row>
    <row r="44" spans="1:13" ht="83.25" customHeight="1" collapsed="1">
      <c r="A44" s="196" t="s">
        <v>19</v>
      </c>
      <c r="B44" s="208" t="s">
        <v>306</v>
      </c>
      <c r="C44" s="216">
        <v>8731.38</v>
      </c>
      <c r="D44" s="218"/>
      <c r="E44" s="218"/>
      <c r="F44" s="220">
        <f>+G44+J44</f>
        <v>0</v>
      </c>
      <c r="G44" s="217"/>
      <c r="H44" s="218"/>
      <c r="I44" s="218"/>
      <c r="J44" s="218"/>
      <c r="K44" s="218"/>
      <c r="L44" s="219"/>
      <c r="M44" s="220">
        <f t="shared" si="5"/>
        <v>8731.38</v>
      </c>
    </row>
    <row r="45" spans="1:13" ht="89.25" hidden="1" outlineLevel="1" collapsed="1">
      <c r="A45" s="196" t="s">
        <v>21</v>
      </c>
      <c r="B45" s="211" t="s">
        <v>363</v>
      </c>
      <c r="C45" s="216"/>
      <c r="D45" s="218"/>
      <c r="E45" s="218"/>
      <c r="F45" s="220">
        <f>+G45+J45</f>
        <v>0</v>
      </c>
      <c r="G45" s="217"/>
      <c r="H45" s="218"/>
      <c r="I45" s="218"/>
      <c r="J45" s="218"/>
      <c r="K45" s="218"/>
      <c r="L45" s="219"/>
      <c r="M45" s="220">
        <f t="shared" si="5"/>
        <v>0</v>
      </c>
    </row>
    <row r="46" spans="1:13" ht="15" customHeight="1" hidden="1" outlineLevel="1" collapsed="1">
      <c r="A46" s="196" t="s">
        <v>89</v>
      </c>
      <c r="B46" s="208" t="s">
        <v>339</v>
      </c>
      <c r="C46" s="216"/>
      <c r="D46" s="218"/>
      <c r="E46" s="218"/>
      <c r="F46" s="220">
        <f t="shared" si="2"/>
        <v>0</v>
      </c>
      <c r="G46" s="217"/>
      <c r="H46" s="218"/>
      <c r="I46" s="218"/>
      <c r="J46" s="218"/>
      <c r="K46" s="218">
        <f>+J46</f>
        <v>0</v>
      </c>
      <c r="L46" s="219"/>
      <c r="M46" s="220">
        <f t="shared" si="5"/>
        <v>0</v>
      </c>
    </row>
    <row r="47" spans="1:13" ht="57" customHeight="1" hidden="1" outlineLevel="1">
      <c r="A47" s="284" t="s">
        <v>7</v>
      </c>
      <c r="B47" s="208" t="s">
        <v>6</v>
      </c>
      <c r="C47" s="216"/>
      <c r="D47" s="218"/>
      <c r="E47" s="218"/>
      <c r="F47" s="220">
        <f>+G47+J47</f>
        <v>0</v>
      </c>
      <c r="G47" s="217"/>
      <c r="H47" s="218"/>
      <c r="I47" s="218"/>
      <c r="J47" s="218"/>
      <c r="K47" s="218"/>
      <c r="L47" s="219"/>
      <c r="M47" s="220">
        <f t="shared" si="5"/>
        <v>0</v>
      </c>
    </row>
    <row r="48" spans="1:13" ht="69.75" customHeight="1" collapsed="1">
      <c r="A48" s="198" t="s">
        <v>187</v>
      </c>
      <c r="B48" s="211" t="s">
        <v>188</v>
      </c>
      <c r="C48" s="216"/>
      <c r="D48" s="218"/>
      <c r="E48" s="218"/>
      <c r="F48" s="220">
        <f t="shared" si="2"/>
        <v>21</v>
      </c>
      <c r="G48" s="217">
        <v>21</v>
      </c>
      <c r="H48" s="218"/>
      <c r="I48" s="218"/>
      <c r="J48" s="218"/>
      <c r="K48" s="218"/>
      <c r="L48" s="219"/>
      <c r="M48" s="220">
        <f t="shared" si="5"/>
        <v>21</v>
      </c>
    </row>
    <row r="49" spans="1:15" ht="42" customHeight="1">
      <c r="A49" s="197" t="s">
        <v>443</v>
      </c>
      <c r="B49" s="209" t="s">
        <v>194</v>
      </c>
      <c r="C49" s="222">
        <f aca="true" t="shared" si="6" ref="C49:M49">SUM(C50:C69)</f>
        <v>600097.021</v>
      </c>
      <c r="D49" s="224">
        <f t="shared" si="6"/>
        <v>344429.735</v>
      </c>
      <c r="E49" s="224">
        <f t="shared" si="6"/>
        <v>60961.185000000005</v>
      </c>
      <c r="F49" s="226">
        <f t="shared" si="6"/>
        <v>21064.536</v>
      </c>
      <c r="G49" s="223">
        <f t="shared" si="6"/>
        <v>13647.910999999998</v>
      </c>
      <c r="H49" s="224">
        <f t="shared" si="6"/>
        <v>6584.142</v>
      </c>
      <c r="I49" s="224">
        <f t="shared" si="6"/>
        <v>2826.7559999999994</v>
      </c>
      <c r="J49" s="224">
        <f t="shared" si="6"/>
        <v>7416.625</v>
      </c>
      <c r="K49" s="224">
        <f t="shared" si="6"/>
        <v>6213.806999999999</v>
      </c>
      <c r="L49" s="225">
        <f t="shared" si="6"/>
        <v>0</v>
      </c>
      <c r="M49" s="226">
        <f t="shared" si="6"/>
        <v>621161.5569999998</v>
      </c>
      <c r="O49" s="363"/>
    </row>
    <row r="50" spans="1:13" ht="12.75">
      <c r="A50" s="196" t="s">
        <v>23</v>
      </c>
      <c r="B50" s="208" t="s">
        <v>24</v>
      </c>
      <c r="C50" s="216">
        <v>137069.267</v>
      </c>
      <c r="D50" s="218">
        <v>80189.995</v>
      </c>
      <c r="E50" s="218">
        <v>15168.6</v>
      </c>
      <c r="F50" s="216">
        <f aca="true" t="shared" si="7" ref="F50:F55">+G50+J50</f>
        <v>4431.243</v>
      </c>
      <c r="G50" s="217">
        <v>3314.343</v>
      </c>
      <c r="H50" s="218">
        <v>632.641</v>
      </c>
      <c r="I50" s="218">
        <v>1809.465</v>
      </c>
      <c r="J50" s="218">
        <f>354+762.9</f>
        <v>1116.9</v>
      </c>
      <c r="K50" s="218">
        <v>762.9</v>
      </c>
      <c r="L50" s="219"/>
      <c r="M50" s="220">
        <f aca="true" t="shared" si="8" ref="M50:M69">+C50+F50</f>
        <v>141500.50999999998</v>
      </c>
    </row>
    <row r="51" spans="1:13" ht="81.75" customHeight="1">
      <c r="A51" s="196" t="s">
        <v>29</v>
      </c>
      <c r="B51" s="208" t="s">
        <v>444</v>
      </c>
      <c r="C51" s="216">
        <v>305628.542</v>
      </c>
      <c r="D51" s="218">
        <v>185163.839</v>
      </c>
      <c r="E51" s="218">
        <v>34278.07</v>
      </c>
      <c r="F51" s="216">
        <f t="shared" si="7"/>
        <v>8785.218</v>
      </c>
      <c r="G51" s="360">
        <v>4462.065</v>
      </c>
      <c r="H51" s="218">
        <v>1799.454</v>
      </c>
      <c r="I51" s="218">
        <v>252.342</v>
      </c>
      <c r="J51" s="218">
        <f>230.81+4092.343</f>
        <v>4323.153</v>
      </c>
      <c r="K51" s="218">
        <v>4092.343</v>
      </c>
      <c r="L51" s="219"/>
      <c r="M51" s="220">
        <f t="shared" si="8"/>
        <v>314413.76</v>
      </c>
    </row>
    <row r="52" spans="1:13" ht="12.75">
      <c r="A52" s="196" t="s">
        <v>30</v>
      </c>
      <c r="B52" s="208" t="s">
        <v>445</v>
      </c>
      <c r="C52" s="216">
        <v>15132.304</v>
      </c>
      <c r="D52" s="218">
        <v>8904.259</v>
      </c>
      <c r="E52" s="218">
        <v>1638.594</v>
      </c>
      <c r="F52" s="216">
        <f t="shared" si="7"/>
        <v>122.32</v>
      </c>
      <c r="G52" s="217">
        <v>2.5</v>
      </c>
      <c r="H52" s="218"/>
      <c r="I52" s="218"/>
      <c r="J52" s="218">
        <v>119.82</v>
      </c>
      <c r="K52" s="218">
        <v>119.82</v>
      </c>
      <c r="L52" s="219"/>
      <c r="M52" s="220">
        <f t="shared" si="8"/>
        <v>15254.624</v>
      </c>
    </row>
    <row r="53" spans="1:13" ht="12.75" customHeight="1">
      <c r="A53" s="196" t="s">
        <v>31</v>
      </c>
      <c r="B53" s="208" t="s">
        <v>446</v>
      </c>
      <c r="C53" s="216">
        <v>3947.354</v>
      </c>
      <c r="D53" s="218">
        <v>2492.037</v>
      </c>
      <c r="E53" s="218">
        <v>744.607</v>
      </c>
      <c r="F53" s="216">
        <f t="shared" si="7"/>
        <v>0</v>
      </c>
      <c r="G53" s="217"/>
      <c r="H53" s="218"/>
      <c r="I53" s="218"/>
      <c r="J53" s="218"/>
      <c r="K53" s="218"/>
      <c r="L53" s="219"/>
      <c r="M53" s="220">
        <f t="shared" si="8"/>
        <v>3947.354</v>
      </c>
    </row>
    <row r="54" spans="1:13" ht="12.75">
      <c r="A54" s="196" t="s">
        <v>32</v>
      </c>
      <c r="B54" s="208" t="s">
        <v>447</v>
      </c>
      <c r="C54" s="216">
        <v>10256.598</v>
      </c>
      <c r="D54" s="218">
        <v>7783.257</v>
      </c>
      <c r="E54" s="218">
        <v>578.527</v>
      </c>
      <c r="F54" s="216">
        <f t="shared" si="7"/>
        <v>0</v>
      </c>
      <c r="G54" s="217"/>
      <c r="H54" s="218"/>
      <c r="I54" s="218"/>
      <c r="J54" s="218"/>
      <c r="K54" s="218"/>
      <c r="L54" s="219"/>
      <c r="M54" s="220">
        <f t="shared" si="8"/>
        <v>10256.598</v>
      </c>
    </row>
    <row r="55" spans="1:13" ht="12.75" collapsed="1">
      <c r="A55" s="196" t="s">
        <v>33</v>
      </c>
      <c r="B55" s="208" t="s">
        <v>448</v>
      </c>
      <c r="C55" s="216">
        <v>28061.004</v>
      </c>
      <c r="D55" s="218">
        <v>13254.738</v>
      </c>
      <c r="E55" s="218">
        <v>2881.678</v>
      </c>
      <c r="F55" s="216">
        <f t="shared" si="7"/>
        <v>1553.933</v>
      </c>
      <c r="G55" s="217">
        <v>515.7</v>
      </c>
      <c r="H55" s="218">
        <v>109.12</v>
      </c>
      <c r="I55" s="218">
        <v>38</v>
      </c>
      <c r="J55" s="218">
        <f>502.3+535.933</f>
        <v>1038.233</v>
      </c>
      <c r="K55" s="218">
        <v>535.933</v>
      </c>
      <c r="L55" s="219"/>
      <c r="M55" s="220">
        <f t="shared" si="8"/>
        <v>29614.937</v>
      </c>
    </row>
    <row r="56" spans="1:13" ht="66.75" customHeight="1">
      <c r="A56" s="196" t="s">
        <v>34</v>
      </c>
      <c r="B56" s="208" t="s">
        <v>449</v>
      </c>
      <c r="C56" s="216">
        <v>9775.918</v>
      </c>
      <c r="D56" s="218">
        <v>6872.371</v>
      </c>
      <c r="E56" s="218">
        <v>1474.972</v>
      </c>
      <c r="F56" s="216">
        <f>+G56+J56</f>
        <v>330.807</v>
      </c>
      <c r="G56" s="217">
        <v>309.067</v>
      </c>
      <c r="H56" s="218">
        <v>196.272</v>
      </c>
      <c r="I56" s="218">
        <v>14.47</v>
      </c>
      <c r="J56" s="218">
        <v>21.74</v>
      </c>
      <c r="K56" s="218">
        <v>21.74</v>
      </c>
      <c r="L56" s="219"/>
      <c r="M56" s="220">
        <f t="shared" si="8"/>
        <v>10106.725</v>
      </c>
    </row>
    <row r="57" spans="1:13" ht="27" customHeight="1">
      <c r="A57" s="196" t="s">
        <v>35</v>
      </c>
      <c r="B57" s="208" t="s">
        <v>450</v>
      </c>
      <c r="C57" s="216">
        <v>334.836</v>
      </c>
      <c r="D57" s="218">
        <v>303.609</v>
      </c>
      <c r="E57" s="218">
        <v>13.658</v>
      </c>
      <c r="F57" s="216">
        <f t="shared" si="2"/>
        <v>6.543</v>
      </c>
      <c r="G57" s="217">
        <v>0.043</v>
      </c>
      <c r="H57" s="218"/>
      <c r="I57" s="218"/>
      <c r="J57" s="218">
        <v>6.5</v>
      </c>
      <c r="K57" s="218">
        <f>+J57</f>
        <v>6.5</v>
      </c>
      <c r="L57" s="219"/>
      <c r="M57" s="220">
        <f t="shared" si="8"/>
        <v>341.379</v>
      </c>
    </row>
    <row r="58" spans="1:13" ht="12.75" collapsed="1">
      <c r="A58" s="196" t="s">
        <v>36</v>
      </c>
      <c r="B58" s="208" t="s">
        <v>451</v>
      </c>
      <c r="C58" s="216">
        <v>6076.264</v>
      </c>
      <c r="D58" s="218">
        <v>5312.599</v>
      </c>
      <c r="E58" s="218">
        <v>337.26</v>
      </c>
      <c r="F58" s="216">
        <f t="shared" si="2"/>
        <v>10.91</v>
      </c>
      <c r="G58" s="217">
        <v>10.91</v>
      </c>
      <c r="H58" s="218"/>
      <c r="I58" s="218">
        <v>2.944</v>
      </c>
      <c r="J58" s="218"/>
      <c r="K58" s="218"/>
      <c r="L58" s="219"/>
      <c r="M58" s="220">
        <f t="shared" si="8"/>
        <v>6087.174</v>
      </c>
    </row>
    <row r="59" spans="1:13" ht="12.75">
      <c r="A59" s="196" t="s">
        <v>37</v>
      </c>
      <c r="B59" s="208" t="s">
        <v>364</v>
      </c>
      <c r="C59" s="216">
        <f>7543.3+15261.232</f>
        <v>22804.532</v>
      </c>
      <c r="D59" s="218">
        <v>12516.872</v>
      </c>
      <c r="E59" s="218">
        <v>1476.13</v>
      </c>
      <c r="F59" s="216">
        <f t="shared" si="2"/>
        <v>183.303</v>
      </c>
      <c r="G59" s="217">
        <v>56.963</v>
      </c>
      <c r="H59" s="218">
        <v>20.43</v>
      </c>
      <c r="I59" s="218">
        <v>2.6</v>
      </c>
      <c r="J59" s="218">
        <f>18.44+107.9</f>
        <v>126.34</v>
      </c>
      <c r="K59" s="218">
        <v>107.9</v>
      </c>
      <c r="L59" s="219"/>
      <c r="M59" s="220">
        <f t="shared" si="8"/>
        <v>22987.835</v>
      </c>
    </row>
    <row r="60" spans="1:13" ht="42.75" customHeight="1">
      <c r="A60" s="196" t="s">
        <v>38</v>
      </c>
      <c r="B60" s="208" t="s">
        <v>452</v>
      </c>
      <c r="C60" s="216">
        <v>1403.975</v>
      </c>
      <c r="D60" s="218">
        <v>898.65</v>
      </c>
      <c r="E60" s="218">
        <v>165.944</v>
      </c>
      <c r="F60" s="216">
        <f t="shared" si="2"/>
        <v>69.956</v>
      </c>
      <c r="G60" s="217"/>
      <c r="H60" s="218"/>
      <c r="I60" s="218"/>
      <c r="J60" s="218">
        <v>69.956</v>
      </c>
      <c r="K60" s="218">
        <f>+J60</f>
        <v>69.956</v>
      </c>
      <c r="L60" s="219"/>
      <c r="M60" s="220">
        <f t="shared" si="8"/>
        <v>1473.9309999999998</v>
      </c>
    </row>
    <row r="61" spans="1:13" ht="12.75">
      <c r="A61" s="196" t="s">
        <v>39</v>
      </c>
      <c r="B61" s="208" t="s">
        <v>453</v>
      </c>
      <c r="C61" s="216">
        <v>5328.313</v>
      </c>
      <c r="D61" s="218">
        <v>4799.17</v>
      </c>
      <c r="E61" s="218">
        <v>29.939</v>
      </c>
      <c r="F61" s="216">
        <f t="shared" si="2"/>
        <v>0</v>
      </c>
      <c r="G61" s="217"/>
      <c r="H61" s="218"/>
      <c r="I61" s="218"/>
      <c r="J61" s="218"/>
      <c r="K61" s="218"/>
      <c r="L61" s="219"/>
      <c r="M61" s="220">
        <f t="shared" si="8"/>
        <v>5328.313</v>
      </c>
    </row>
    <row r="62" spans="1:13" ht="38.25">
      <c r="A62" s="196" t="s">
        <v>454</v>
      </c>
      <c r="B62" s="208" t="s">
        <v>343</v>
      </c>
      <c r="C62" s="216">
        <v>24425</v>
      </c>
      <c r="D62" s="218"/>
      <c r="E62" s="218"/>
      <c r="F62" s="216">
        <f>+G62+J62</f>
        <v>0</v>
      </c>
      <c r="G62" s="217"/>
      <c r="H62" s="218"/>
      <c r="I62" s="218"/>
      <c r="J62" s="218"/>
      <c r="K62" s="218"/>
      <c r="L62" s="219"/>
      <c r="M62" s="220">
        <f t="shared" si="8"/>
        <v>24425</v>
      </c>
    </row>
    <row r="63" spans="1:13" ht="89.25" hidden="1" outlineLevel="1">
      <c r="A63" s="196" t="s">
        <v>574</v>
      </c>
      <c r="B63" s="208" t="s">
        <v>363</v>
      </c>
      <c r="C63" s="216"/>
      <c r="D63" s="218"/>
      <c r="E63" s="218"/>
      <c r="F63" s="220">
        <f>+G63+J63</f>
        <v>0</v>
      </c>
      <c r="G63" s="217"/>
      <c r="H63" s="218"/>
      <c r="I63" s="218"/>
      <c r="J63" s="218"/>
      <c r="K63" s="218"/>
      <c r="L63" s="219"/>
      <c r="M63" s="220">
        <f t="shared" si="8"/>
        <v>0</v>
      </c>
    </row>
    <row r="64" spans="1:13" ht="25.5" collapsed="1">
      <c r="A64" s="196" t="s">
        <v>41</v>
      </c>
      <c r="B64" s="208" t="s">
        <v>455</v>
      </c>
      <c r="C64" s="216">
        <v>28260.274</v>
      </c>
      <c r="D64" s="218">
        <v>14407.827</v>
      </c>
      <c r="E64" s="218">
        <v>2137.364</v>
      </c>
      <c r="F64" s="216">
        <f t="shared" si="2"/>
        <v>5382.487</v>
      </c>
      <c r="G64" s="217">
        <v>4924.644</v>
      </c>
      <c r="H64" s="218">
        <v>3795.805</v>
      </c>
      <c r="I64" s="218">
        <v>692.869</v>
      </c>
      <c r="J64" s="218">
        <f>97.268+360.575</f>
        <v>457.84299999999996</v>
      </c>
      <c r="K64" s="218">
        <v>360.575</v>
      </c>
      <c r="L64" s="219"/>
      <c r="M64" s="220">
        <f t="shared" si="8"/>
        <v>33642.761</v>
      </c>
    </row>
    <row r="65" spans="1:13" ht="25.5">
      <c r="A65" s="196" t="s">
        <v>40</v>
      </c>
      <c r="B65" s="208" t="s">
        <v>456</v>
      </c>
      <c r="C65" s="216">
        <v>627.125</v>
      </c>
      <c r="D65" s="218">
        <v>627.125</v>
      </c>
      <c r="E65" s="218"/>
      <c r="F65" s="220">
        <f>+G65+J65</f>
        <v>46.676</v>
      </c>
      <c r="G65" s="217">
        <v>46.676</v>
      </c>
      <c r="H65" s="218">
        <v>30.01</v>
      </c>
      <c r="I65" s="218">
        <v>14.066</v>
      </c>
      <c r="J65" s="218"/>
      <c r="K65" s="218"/>
      <c r="L65" s="219"/>
      <c r="M65" s="220">
        <f t="shared" si="8"/>
        <v>673.801</v>
      </c>
    </row>
    <row r="66" spans="1:13" ht="89.25" hidden="1" outlineLevel="1">
      <c r="A66" s="196" t="s">
        <v>21</v>
      </c>
      <c r="B66" s="211" t="s">
        <v>363</v>
      </c>
      <c r="C66" s="216"/>
      <c r="D66" s="218"/>
      <c r="E66" s="218"/>
      <c r="F66" s="220">
        <f>+G66+J66</f>
        <v>0</v>
      </c>
      <c r="G66" s="217"/>
      <c r="H66" s="218"/>
      <c r="I66" s="218"/>
      <c r="J66" s="218"/>
      <c r="K66" s="218"/>
      <c r="L66" s="219"/>
      <c r="M66" s="220">
        <f t="shared" si="8"/>
        <v>0</v>
      </c>
    </row>
    <row r="67" spans="1:13" ht="12.75" collapsed="1">
      <c r="A67" s="196" t="s">
        <v>89</v>
      </c>
      <c r="B67" s="208" t="s">
        <v>339</v>
      </c>
      <c r="C67" s="216"/>
      <c r="D67" s="218"/>
      <c r="E67" s="218"/>
      <c r="F67" s="216">
        <f>+G67+J67</f>
        <v>0</v>
      </c>
      <c r="G67" s="217"/>
      <c r="H67" s="218"/>
      <c r="I67" s="218"/>
      <c r="J67" s="218"/>
      <c r="K67" s="218">
        <f>+J67</f>
        <v>0</v>
      </c>
      <c r="L67" s="219"/>
      <c r="M67" s="220">
        <f t="shared" si="8"/>
        <v>0</v>
      </c>
    </row>
    <row r="68" spans="1:13" ht="72" customHeight="1">
      <c r="A68" s="274" t="s">
        <v>187</v>
      </c>
      <c r="B68" s="287" t="s">
        <v>188</v>
      </c>
      <c r="C68" s="216"/>
      <c r="D68" s="218"/>
      <c r="E68" s="218"/>
      <c r="F68" s="220">
        <f>+G68+J68</f>
        <v>3</v>
      </c>
      <c r="G68" s="217">
        <v>3</v>
      </c>
      <c r="H68" s="218"/>
      <c r="I68" s="218"/>
      <c r="J68" s="218"/>
      <c r="K68" s="218"/>
      <c r="L68" s="219"/>
      <c r="M68" s="220">
        <f t="shared" si="8"/>
        <v>3</v>
      </c>
    </row>
    <row r="69" spans="1:13" ht="12.75">
      <c r="A69" s="196">
        <v>110201</v>
      </c>
      <c r="B69" s="208" t="s">
        <v>457</v>
      </c>
      <c r="C69" s="216">
        <v>965.715</v>
      </c>
      <c r="D69" s="218">
        <v>903.387</v>
      </c>
      <c r="E69" s="218">
        <v>35.842</v>
      </c>
      <c r="F69" s="220">
        <f t="shared" si="2"/>
        <v>138.14</v>
      </c>
      <c r="G69" s="217">
        <v>2</v>
      </c>
      <c r="H69" s="218">
        <v>0.41</v>
      </c>
      <c r="I69" s="218"/>
      <c r="J69" s="218">
        <v>136.14</v>
      </c>
      <c r="K69" s="218">
        <v>136.14</v>
      </c>
      <c r="L69" s="219"/>
      <c r="M69" s="220">
        <f t="shared" si="8"/>
        <v>1103.855</v>
      </c>
    </row>
    <row r="70" spans="1:13" ht="38.25">
      <c r="A70" s="197" t="s">
        <v>458</v>
      </c>
      <c r="B70" s="209" t="s">
        <v>559</v>
      </c>
      <c r="C70" s="229">
        <f aca="true" t="shared" si="9" ref="C70:M70">+C71+C72</f>
        <v>2264.325</v>
      </c>
      <c r="D70" s="231">
        <f t="shared" si="9"/>
        <v>1950.626</v>
      </c>
      <c r="E70" s="231">
        <f t="shared" si="9"/>
        <v>72.525</v>
      </c>
      <c r="F70" s="233">
        <f t="shared" si="9"/>
        <v>76.843</v>
      </c>
      <c r="G70" s="230">
        <f t="shared" si="9"/>
        <v>0</v>
      </c>
      <c r="H70" s="231">
        <f t="shared" si="9"/>
        <v>0</v>
      </c>
      <c r="I70" s="231">
        <f t="shared" si="9"/>
        <v>0</v>
      </c>
      <c r="J70" s="231">
        <f t="shared" si="9"/>
        <v>76.843</v>
      </c>
      <c r="K70" s="231">
        <f t="shared" si="9"/>
        <v>76.843</v>
      </c>
      <c r="L70" s="232">
        <f t="shared" si="9"/>
        <v>0</v>
      </c>
      <c r="M70" s="233">
        <f t="shared" si="9"/>
        <v>2341.1679999999997</v>
      </c>
    </row>
    <row r="71" spans="1:13" ht="31.5" customHeight="1">
      <c r="A71" s="196">
        <v>210110</v>
      </c>
      <c r="B71" s="208" t="s">
        <v>461</v>
      </c>
      <c r="C71" s="216">
        <v>2264.325</v>
      </c>
      <c r="D71" s="218">
        <v>1950.626</v>
      </c>
      <c r="E71" s="218">
        <v>72.525</v>
      </c>
      <c r="F71" s="220">
        <f>+G71+J71</f>
        <v>76.843</v>
      </c>
      <c r="G71" s="217"/>
      <c r="H71" s="218"/>
      <c r="I71" s="218"/>
      <c r="J71" s="218">
        <v>76.843</v>
      </c>
      <c r="K71" s="218">
        <f>+J71</f>
        <v>76.843</v>
      </c>
      <c r="L71" s="219"/>
      <c r="M71" s="220">
        <f>+C71+F71</f>
        <v>2341.1679999999997</v>
      </c>
    </row>
    <row r="72" spans="1:13" ht="51" hidden="1" outlineLevel="1">
      <c r="A72" s="284" t="s">
        <v>7</v>
      </c>
      <c r="B72" s="208" t="s">
        <v>6</v>
      </c>
      <c r="C72" s="216"/>
      <c r="D72" s="218"/>
      <c r="E72" s="218"/>
      <c r="F72" s="220">
        <f>+G72+J72</f>
        <v>0</v>
      </c>
      <c r="G72" s="217"/>
      <c r="H72" s="218"/>
      <c r="I72" s="218"/>
      <c r="J72" s="218"/>
      <c r="K72" s="218"/>
      <c r="L72" s="219"/>
      <c r="M72" s="220">
        <f>+C72+F72</f>
        <v>0</v>
      </c>
    </row>
    <row r="73" spans="1:13" ht="51" collapsed="1">
      <c r="A73" s="197" t="s">
        <v>462</v>
      </c>
      <c r="B73" s="209" t="s">
        <v>215</v>
      </c>
      <c r="C73" s="229">
        <f aca="true" t="shared" si="10" ref="C73:M73">SUM(C74:C96)</f>
        <v>113038.629</v>
      </c>
      <c r="D73" s="231">
        <f t="shared" si="10"/>
        <v>59732.966</v>
      </c>
      <c r="E73" s="231">
        <f t="shared" si="10"/>
        <v>18515.550000000003</v>
      </c>
      <c r="F73" s="233">
        <f t="shared" si="10"/>
        <v>32466.229</v>
      </c>
      <c r="G73" s="230">
        <f t="shared" si="10"/>
        <v>21216.510000000002</v>
      </c>
      <c r="H73" s="231">
        <f t="shared" si="10"/>
        <v>24.065</v>
      </c>
      <c r="I73" s="231">
        <f t="shared" si="10"/>
        <v>0</v>
      </c>
      <c r="J73" s="231">
        <f t="shared" si="10"/>
        <v>11249.719000000001</v>
      </c>
      <c r="K73" s="231">
        <f t="shared" si="10"/>
        <v>9461.1</v>
      </c>
      <c r="L73" s="232">
        <f t="shared" si="10"/>
        <v>0</v>
      </c>
      <c r="M73" s="233">
        <f t="shared" si="10"/>
        <v>145504.858</v>
      </c>
    </row>
    <row r="74" spans="1:13" ht="38.25">
      <c r="A74" s="199" t="s">
        <v>289</v>
      </c>
      <c r="B74" s="210" t="s">
        <v>290</v>
      </c>
      <c r="C74" s="216">
        <v>857.6</v>
      </c>
      <c r="D74" s="218"/>
      <c r="E74" s="218"/>
      <c r="F74" s="220">
        <f aca="true" t="shared" si="11" ref="F74:F80">+G74+J74</f>
        <v>0</v>
      </c>
      <c r="G74" s="217"/>
      <c r="H74" s="218"/>
      <c r="I74" s="218"/>
      <c r="J74" s="218"/>
      <c r="K74" s="218"/>
      <c r="L74" s="219"/>
      <c r="M74" s="220">
        <f aca="true" t="shared" si="12" ref="M74:M96">+C74+F74</f>
        <v>857.6</v>
      </c>
    </row>
    <row r="75" spans="1:13" ht="38.25" customHeight="1" hidden="1" outlineLevel="1">
      <c r="A75" s="199" t="s">
        <v>291</v>
      </c>
      <c r="B75" s="210" t="s">
        <v>292</v>
      </c>
      <c r="C75" s="216"/>
      <c r="D75" s="218"/>
      <c r="E75" s="218"/>
      <c r="F75" s="220">
        <f t="shared" si="11"/>
        <v>0</v>
      </c>
      <c r="G75" s="217"/>
      <c r="H75" s="218"/>
      <c r="I75" s="218"/>
      <c r="J75" s="218"/>
      <c r="K75" s="218"/>
      <c r="L75" s="219"/>
      <c r="M75" s="220">
        <f t="shared" si="12"/>
        <v>0</v>
      </c>
    </row>
    <row r="76" spans="1:15" ht="25.5" hidden="1" outlineLevel="1" collapsed="1">
      <c r="A76" s="196" t="s">
        <v>46</v>
      </c>
      <c r="B76" s="208" t="s">
        <v>47</v>
      </c>
      <c r="C76" s="216"/>
      <c r="D76" s="218"/>
      <c r="E76" s="218"/>
      <c r="F76" s="220">
        <f t="shared" si="11"/>
        <v>0</v>
      </c>
      <c r="G76" s="217"/>
      <c r="H76" s="218"/>
      <c r="I76" s="218"/>
      <c r="J76" s="218"/>
      <c r="K76" s="218"/>
      <c r="L76" s="219"/>
      <c r="M76" s="220">
        <f t="shared" si="12"/>
        <v>0</v>
      </c>
      <c r="O76" s="100"/>
    </row>
    <row r="77" spans="1:13" ht="12.75" hidden="1" outlineLevel="1" collapsed="1">
      <c r="A77" s="196" t="s">
        <v>293</v>
      </c>
      <c r="B77" s="208" t="s">
        <v>463</v>
      </c>
      <c r="C77" s="216"/>
      <c r="D77" s="218"/>
      <c r="E77" s="218"/>
      <c r="F77" s="220">
        <f t="shared" si="11"/>
        <v>0</v>
      </c>
      <c r="G77" s="234"/>
      <c r="H77" s="218"/>
      <c r="I77" s="218"/>
      <c r="J77" s="218"/>
      <c r="K77" s="218"/>
      <c r="L77" s="219"/>
      <c r="M77" s="220">
        <f t="shared" si="12"/>
        <v>0</v>
      </c>
    </row>
    <row r="78" spans="1:13" ht="25.5" customHeight="1" hidden="1" outlineLevel="1">
      <c r="A78" s="196" t="s">
        <v>295</v>
      </c>
      <c r="B78" s="208" t="s">
        <v>299</v>
      </c>
      <c r="C78" s="216"/>
      <c r="D78" s="218"/>
      <c r="E78" s="218"/>
      <c r="F78" s="220">
        <f t="shared" si="11"/>
        <v>0</v>
      </c>
      <c r="G78" s="217"/>
      <c r="H78" s="218"/>
      <c r="I78" s="218"/>
      <c r="J78" s="218"/>
      <c r="K78" s="218"/>
      <c r="L78" s="219"/>
      <c r="M78" s="220">
        <f t="shared" si="12"/>
        <v>0</v>
      </c>
    </row>
    <row r="79" spans="1:13" ht="22.5" customHeight="1" collapsed="1">
      <c r="A79" s="196" t="s">
        <v>609</v>
      </c>
      <c r="B79" s="208" t="s">
        <v>469</v>
      </c>
      <c r="C79" s="216">
        <v>2120</v>
      </c>
      <c r="D79" s="218"/>
      <c r="E79" s="218"/>
      <c r="F79" s="220">
        <f t="shared" si="11"/>
        <v>0</v>
      </c>
      <c r="G79" s="217"/>
      <c r="H79" s="218"/>
      <c r="I79" s="218"/>
      <c r="J79" s="218"/>
      <c r="K79" s="218"/>
      <c r="L79" s="219"/>
      <c r="M79" s="220">
        <f t="shared" si="12"/>
        <v>2120</v>
      </c>
    </row>
    <row r="80" spans="1:13" ht="25.5">
      <c r="A80" s="196" t="s">
        <v>48</v>
      </c>
      <c r="B80" s="208" t="s">
        <v>49</v>
      </c>
      <c r="C80" s="216">
        <v>118.5</v>
      </c>
      <c r="D80" s="218"/>
      <c r="E80" s="218"/>
      <c r="F80" s="220">
        <f t="shared" si="11"/>
        <v>0</v>
      </c>
      <c r="G80" s="217"/>
      <c r="H80" s="218"/>
      <c r="I80" s="218"/>
      <c r="J80" s="218"/>
      <c r="K80" s="218"/>
      <c r="L80" s="219"/>
      <c r="M80" s="220">
        <f t="shared" si="12"/>
        <v>118.5</v>
      </c>
    </row>
    <row r="81" spans="1:13" ht="30" customHeight="1">
      <c r="A81" s="196" t="s">
        <v>50</v>
      </c>
      <c r="B81" s="208" t="s">
        <v>560</v>
      </c>
      <c r="C81" s="216">
        <v>841.7</v>
      </c>
      <c r="D81" s="218"/>
      <c r="E81" s="218"/>
      <c r="F81" s="220"/>
      <c r="G81" s="217"/>
      <c r="H81" s="218"/>
      <c r="I81" s="218"/>
      <c r="J81" s="218"/>
      <c r="K81" s="218"/>
      <c r="L81" s="219"/>
      <c r="M81" s="220">
        <f t="shared" si="12"/>
        <v>841.7</v>
      </c>
    </row>
    <row r="82" spans="1:13" ht="25.5">
      <c r="A82" s="196" t="s">
        <v>51</v>
      </c>
      <c r="B82" s="208" t="s">
        <v>470</v>
      </c>
      <c r="C82" s="216">
        <v>11730.705</v>
      </c>
      <c r="D82" s="218">
        <v>7386.796</v>
      </c>
      <c r="E82" s="218">
        <v>1546.111</v>
      </c>
      <c r="F82" s="220">
        <f aca="true" t="shared" si="13" ref="F82:F94">+G82+J82</f>
        <v>2018</v>
      </c>
      <c r="G82" s="217">
        <f>2018-128</f>
        <v>1890</v>
      </c>
      <c r="H82" s="218"/>
      <c r="I82" s="218"/>
      <c r="J82" s="218">
        <v>128</v>
      </c>
      <c r="K82" s="218"/>
      <c r="L82" s="219"/>
      <c r="M82" s="220">
        <f t="shared" si="12"/>
        <v>13748.705</v>
      </c>
    </row>
    <row r="83" spans="1:13" ht="38.25" collapsed="1">
      <c r="A83" s="196" t="s">
        <v>52</v>
      </c>
      <c r="B83" s="208" t="s">
        <v>471</v>
      </c>
      <c r="C83" s="216">
        <f>84952.909+7</f>
        <v>84959.909</v>
      </c>
      <c r="D83" s="218">
        <v>45392.999</v>
      </c>
      <c r="E83" s="218">
        <v>15059.39</v>
      </c>
      <c r="F83" s="220">
        <f t="shared" si="13"/>
        <v>20951.194</v>
      </c>
      <c r="G83" s="217">
        <f>20951.194-1660.619</f>
        <v>19290.575</v>
      </c>
      <c r="H83" s="218"/>
      <c r="I83" s="218"/>
      <c r="J83" s="218">
        <v>1660.619</v>
      </c>
      <c r="K83" s="218"/>
      <c r="L83" s="219"/>
      <c r="M83" s="220">
        <f t="shared" si="12"/>
        <v>105911.103</v>
      </c>
    </row>
    <row r="84" spans="1:13" ht="24" customHeight="1">
      <c r="A84" s="196" t="s">
        <v>53</v>
      </c>
      <c r="B84" s="208" t="s">
        <v>472</v>
      </c>
      <c r="C84" s="216">
        <v>7550.099</v>
      </c>
      <c r="D84" s="218">
        <v>3728.027</v>
      </c>
      <c r="E84" s="218">
        <v>1374.722</v>
      </c>
      <c r="F84" s="220">
        <f t="shared" si="13"/>
        <v>35.935</v>
      </c>
      <c r="G84" s="217">
        <v>35.935</v>
      </c>
      <c r="H84" s="218">
        <f>23+1.065</f>
        <v>24.065</v>
      </c>
      <c r="I84" s="218"/>
      <c r="J84" s="218"/>
      <c r="K84" s="218"/>
      <c r="L84" s="219"/>
      <c r="M84" s="220">
        <f t="shared" si="12"/>
        <v>7586.034000000001</v>
      </c>
    </row>
    <row r="85" spans="1:13" ht="25.5" collapsed="1">
      <c r="A85" s="196" t="s">
        <v>54</v>
      </c>
      <c r="B85" s="208" t="s">
        <v>452</v>
      </c>
      <c r="C85" s="216">
        <v>209.321</v>
      </c>
      <c r="D85" s="235">
        <v>93.287</v>
      </c>
      <c r="E85" s="235">
        <v>22.133</v>
      </c>
      <c r="F85" s="220">
        <f t="shared" si="13"/>
        <v>0</v>
      </c>
      <c r="G85" s="234"/>
      <c r="H85" s="235"/>
      <c r="I85" s="235"/>
      <c r="J85" s="218"/>
      <c r="K85" s="218"/>
      <c r="L85" s="219"/>
      <c r="M85" s="220">
        <f t="shared" si="12"/>
        <v>209.321</v>
      </c>
    </row>
    <row r="86" spans="1:13" ht="25.5" collapsed="1">
      <c r="A86" s="196" t="s">
        <v>55</v>
      </c>
      <c r="B86" s="208" t="s">
        <v>311</v>
      </c>
      <c r="C86" s="216">
        <v>1910.387</v>
      </c>
      <c r="D86" s="218">
        <v>1308.403</v>
      </c>
      <c r="E86" s="218">
        <v>293.214</v>
      </c>
      <c r="F86" s="220">
        <f t="shared" si="13"/>
        <v>0</v>
      </c>
      <c r="G86" s="217"/>
      <c r="H86" s="218"/>
      <c r="I86" s="218"/>
      <c r="J86" s="218"/>
      <c r="K86" s="218"/>
      <c r="L86" s="219"/>
      <c r="M86" s="220">
        <f t="shared" si="12"/>
        <v>1910.387</v>
      </c>
    </row>
    <row r="87" spans="1:13" ht="12.75">
      <c r="A87" s="196" t="s">
        <v>56</v>
      </c>
      <c r="B87" s="208" t="s">
        <v>312</v>
      </c>
      <c r="C87" s="216">
        <v>2180.177</v>
      </c>
      <c r="D87" s="218">
        <v>1823.454</v>
      </c>
      <c r="E87" s="218">
        <v>219.98</v>
      </c>
      <c r="F87" s="220">
        <f t="shared" si="13"/>
        <v>0</v>
      </c>
      <c r="G87" s="217"/>
      <c r="H87" s="218"/>
      <c r="I87" s="218"/>
      <c r="J87" s="218"/>
      <c r="K87" s="218"/>
      <c r="L87" s="219"/>
      <c r="M87" s="220">
        <f t="shared" si="12"/>
        <v>2180.177</v>
      </c>
    </row>
    <row r="88" spans="1:13" ht="26.25" customHeight="1" hidden="1" outlineLevel="1">
      <c r="A88" s="196" t="s">
        <v>59</v>
      </c>
      <c r="B88" s="208" t="s">
        <v>473</v>
      </c>
      <c r="C88" s="216"/>
      <c r="D88" s="218"/>
      <c r="E88" s="218"/>
      <c r="F88" s="220">
        <f t="shared" si="13"/>
        <v>0</v>
      </c>
      <c r="G88" s="217"/>
      <c r="H88" s="218"/>
      <c r="I88" s="218"/>
      <c r="J88" s="218"/>
      <c r="K88" s="218"/>
      <c r="L88" s="219"/>
      <c r="M88" s="220">
        <f t="shared" si="12"/>
        <v>0</v>
      </c>
    </row>
    <row r="89" spans="1:13" ht="89.25" hidden="1" outlineLevel="1">
      <c r="A89" s="198" t="s">
        <v>61</v>
      </c>
      <c r="B89" s="211" t="s">
        <v>22</v>
      </c>
      <c r="C89" s="216"/>
      <c r="D89" s="218"/>
      <c r="E89" s="218"/>
      <c r="F89" s="220">
        <f>+G89+J89</f>
        <v>0</v>
      </c>
      <c r="G89" s="217"/>
      <c r="H89" s="218"/>
      <c r="I89" s="218"/>
      <c r="J89" s="218"/>
      <c r="K89" s="218"/>
      <c r="L89" s="219"/>
      <c r="M89" s="220">
        <f t="shared" si="12"/>
        <v>0</v>
      </c>
    </row>
    <row r="90" spans="1:13" ht="51" collapsed="1">
      <c r="A90" s="198" t="s">
        <v>619</v>
      </c>
      <c r="B90" s="211" t="s">
        <v>0</v>
      </c>
      <c r="C90" s="216">
        <v>520.891</v>
      </c>
      <c r="D90" s="218"/>
      <c r="E90" s="218"/>
      <c r="F90" s="220">
        <f>+G90+J90</f>
        <v>0</v>
      </c>
      <c r="G90" s="217"/>
      <c r="H90" s="218"/>
      <c r="I90" s="218"/>
      <c r="J90" s="218"/>
      <c r="K90" s="218"/>
      <c r="L90" s="219"/>
      <c r="M90" s="220">
        <f t="shared" si="12"/>
        <v>520.891</v>
      </c>
    </row>
    <row r="91" spans="1:13" ht="25.5">
      <c r="A91" s="198" t="s">
        <v>620</v>
      </c>
      <c r="B91" s="211" t="s">
        <v>1</v>
      </c>
      <c r="C91" s="216">
        <v>39.34</v>
      </c>
      <c r="D91" s="218"/>
      <c r="E91" s="218"/>
      <c r="F91" s="220">
        <f>+G91+J91</f>
        <v>0</v>
      </c>
      <c r="G91" s="217"/>
      <c r="H91" s="218"/>
      <c r="I91" s="218"/>
      <c r="J91" s="218"/>
      <c r="K91" s="218"/>
      <c r="L91" s="219"/>
      <c r="M91" s="220">
        <f t="shared" si="12"/>
        <v>39.34</v>
      </c>
    </row>
    <row r="92" spans="1:13" ht="38.25" hidden="1" outlineLevel="1" collapsed="1">
      <c r="A92" s="196" t="s">
        <v>82</v>
      </c>
      <c r="B92" s="208" t="s">
        <v>377</v>
      </c>
      <c r="C92" s="216"/>
      <c r="D92" s="218"/>
      <c r="E92" s="218"/>
      <c r="F92" s="220">
        <f t="shared" si="13"/>
        <v>0</v>
      </c>
      <c r="G92" s="217"/>
      <c r="H92" s="218"/>
      <c r="I92" s="218"/>
      <c r="J92" s="218"/>
      <c r="K92" s="218"/>
      <c r="L92" s="219"/>
      <c r="M92" s="220">
        <f t="shared" si="12"/>
        <v>0</v>
      </c>
    </row>
    <row r="93" spans="1:13" ht="38.25" hidden="1" outlineLevel="1">
      <c r="A93" s="196" t="s">
        <v>62</v>
      </c>
      <c r="B93" s="208" t="s">
        <v>378</v>
      </c>
      <c r="C93" s="216"/>
      <c r="D93" s="218"/>
      <c r="E93" s="218"/>
      <c r="F93" s="220">
        <f>+G93+J93</f>
        <v>0</v>
      </c>
      <c r="G93" s="217"/>
      <c r="H93" s="218"/>
      <c r="I93" s="218"/>
      <c r="J93" s="218"/>
      <c r="K93" s="218"/>
      <c r="L93" s="219"/>
      <c r="M93" s="220">
        <f t="shared" si="12"/>
        <v>0</v>
      </c>
    </row>
    <row r="94" spans="1:13" ht="12.75" collapsed="1">
      <c r="A94" s="274">
        <v>150101</v>
      </c>
      <c r="B94" s="287" t="s">
        <v>339</v>
      </c>
      <c r="C94" s="216"/>
      <c r="D94" s="218"/>
      <c r="E94" s="218"/>
      <c r="F94" s="220">
        <f t="shared" si="13"/>
        <v>8100</v>
      </c>
      <c r="G94" s="217"/>
      <c r="H94" s="218"/>
      <c r="I94" s="218"/>
      <c r="J94" s="218">
        <v>8100</v>
      </c>
      <c r="K94" s="218">
        <f>+J94</f>
        <v>8100</v>
      </c>
      <c r="L94" s="219"/>
      <c r="M94" s="220">
        <f t="shared" si="12"/>
        <v>8100</v>
      </c>
    </row>
    <row r="95" spans="1:13" ht="157.5" customHeight="1">
      <c r="A95" s="283" t="s">
        <v>171</v>
      </c>
      <c r="B95" s="211" t="s">
        <v>362</v>
      </c>
      <c r="C95" s="216"/>
      <c r="D95" s="218"/>
      <c r="E95" s="218"/>
      <c r="F95" s="220">
        <f>+G95+J95</f>
        <v>1361.1</v>
      </c>
      <c r="G95" s="217"/>
      <c r="H95" s="218"/>
      <c r="I95" s="218"/>
      <c r="J95" s="218">
        <v>1361.1</v>
      </c>
      <c r="K95" s="218">
        <f>+J95</f>
        <v>1361.1</v>
      </c>
      <c r="L95" s="219"/>
      <c r="M95" s="220">
        <f t="shared" si="12"/>
        <v>1361.1</v>
      </c>
    </row>
    <row r="96" spans="1:13" ht="25.5" hidden="1" outlineLevel="1">
      <c r="A96" s="196" t="s">
        <v>87</v>
      </c>
      <c r="B96" s="208" t="s">
        <v>541</v>
      </c>
      <c r="C96" s="216"/>
      <c r="D96" s="218"/>
      <c r="E96" s="218"/>
      <c r="F96" s="220">
        <f>+G96+J96</f>
        <v>0</v>
      </c>
      <c r="G96" s="217"/>
      <c r="H96" s="218"/>
      <c r="I96" s="218"/>
      <c r="J96" s="218"/>
      <c r="K96" s="218"/>
      <c r="L96" s="219"/>
      <c r="M96" s="220">
        <f t="shared" si="12"/>
        <v>0</v>
      </c>
    </row>
    <row r="97" spans="1:13" ht="39" customHeight="1" collapsed="1">
      <c r="A97" s="200" t="s">
        <v>474</v>
      </c>
      <c r="B97" s="209" t="s">
        <v>570</v>
      </c>
      <c r="C97" s="236">
        <f>+C98+C99</f>
        <v>220.136</v>
      </c>
      <c r="D97" s="238"/>
      <c r="E97" s="238"/>
      <c r="F97" s="240">
        <f>+F98+F99</f>
        <v>0</v>
      </c>
      <c r="G97" s="237">
        <f>+G98+G99</f>
        <v>0</v>
      </c>
      <c r="H97" s="238"/>
      <c r="I97" s="238"/>
      <c r="J97" s="238"/>
      <c r="K97" s="238"/>
      <c r="L97" s="239"/>
      <c r="M97" s="240">
        <f>+M98+M99</f>
        <v>220.136</v>
      </c>
    </row>
    <row r="98" spans="1:13" ht="25.5" customHeight="1" hidden="1" outlineLevel="1">
      <c r="A98" s="196" t="s">
        <v>307</v>
      </c>
      <c r="B98" s="208" t="s">
        <v>308</v>
      </c>
      <c r="C98" s="216"/>
      <c r="D98" s="218"/>
      <c r="E98" s="218"/>
      <c r="F98" s="220">
        <f>+G98+J98</f>
        <v>0</v>
      </c>
      <c r="G98" s="217"/>
      <c r="H98" s="218"/>
      <c r="I98" s="218"/>
      <c r="J98" s="218"/>
      <c r="K98" s="218"/>
      <c r="L98" s="219"/>
      <c r="M98" s="220">
        <f>+C98+F98</f>
        <v>0</v>
      </c>
    </row>
    <row r="99" spans="1:13" ht="12.75" collapsed="1">
      <c r="A99" s="196" t="s">
        <v>57</v>
      </c>
      <c r="B99" s="208" t="s">
        <v>603</v>
      </c>
      <c r="C99" s="216">
        <v>220.136</v>
      </c>
      <c r="D99" s="218"/>
      <c r="E99" s="218"/>
      <c r="F99" s="220">
        <f>+G99+J99</f>
        <v>0</v>
      </c>
      <c r="G99" s="217"/>
      <c r="H99" s="218"/>
      <c r="I99" s="218"/>
      <c r="J99" s="218"/>
      <c r="K99" s="218"/>
      <c r="L99" s="219"/>
      <c r="M99" s="220">
        <f>+C99+F99</f>
        <v>220.136</v>
      </c>
    </row>
    <row r="100" spans="1:13" ht="44.25" customHeight="1">
      <c r="A100" s="197" t="s">
        <v>475</v>
      </c>
      <c r="B100" s="209" t="s">
        <v>365</v>
      </c>
      <c r="C100" s="236">
        <f>SUM(C101:C114)</f>
        <v>32845.022</v>
      </c>
      <c r="D100" s="413">
        <f aca="true" t="shared" si="14" ref="D100:M100">SUM(D101:D114)</f>
        <v>13091.918</v>
      </c>
      <c r="E100" s="238">
        <f t="shared" si="14"/>
        <v>3453.5389999999998</v>
      </c>
      <c r="F100" s="240">
        <f t="shared" si="14"/>
        <v>4574.139999999999</v>
      </c>
      <c r="G100" s="237">
        <f t="shared" si="14"/>
        <v>4046.0989999999997</v>
      </c>
      <c r="H100" s="238">
        <f t="shared" si="14"/>
        <v>1285.876</v>
      </c>
      <c r="I100" s="238">
        <f t="shared" si="14"/>
        <v>293.148</v>
      </c>
      <c r="J100" s="238">
        <f t="shared" si="14"/>
        <v>528.0409999999999</v>
      </c>
      <c r="K100" s="238">
        <f t="shared" si="14"/>
        <v>251.041</v>
      </c>
      <c r="L100" s="239">
        <f t="shared" si="14"/>
        <v>0</v>
      </c>
      <c r="M100" s="240">
        <f t="shared" si="14"/>
        <v>37419.162</v>
      </c>
    </row>
    <row r="101" spans="1:13" ht="28.5" customHeight="1">
      <c r="A101" s="196" t="s">
        <v>9</v>
      </c>
      <c r="B101" s="208" t="s">
        <v>441</v>
      </c>
      <c r="C101" s="216">
        <f>4256.101-112.381</f>
        <v>4143.719999999999</v>
      </c>
      <c r="D101" s="228">
        <v>2181.071</v>
      </c>
      <c r="E101" s="218">
        <v>652.794</v>
      </c>
      <c r="F101" s="220">
        <f>+G101+J101</f>
        <v>2790.961</v>
      </c>
      <c r="G101" s="217">
        <v>2626.58</v>
      </c>
      <c r="H101" s="218">
        <f>522.752+190.244</f>
        <v>712.996</v>
      </c>
      <c r="I101" s="218">
        <v>184.36</v>
      </c>
      <c r="J101" s="218">
        <f>52+112.381</f>
        <v>164.381</v>
      </c>
      <c r="K101" s="218">
        <v>112.381</v>
      </c>
      <c r="L101" s="219"/>
      <c r="M101" s="220">
        <f>+C101+F101</f>
        <v>6934.680999999999</v>
      </c>
    </row>
    <row r="102" spans="1:13" ht="28.5" customHeight="1">
      <c r="A102" s="196" t="s">
        <v>84</v>
      </c>
      <c r="B102" s="208" t="s">
        <v>109</v>
      </c>
      <c r="C102" s="216">
        <f>805.313-6.5</f>
        <v>798.813</v>
      </c>
      <c r="D102" s="228">
        <v>688.79</v>
      </c>
      <c r="E102" s="218">
        <v>29.976</v>
      </c>
      <c r="F102" s="220">
        <f aca="true" t="shared" si="15" ref="F102:F113">+G102+J102</f>
        <v>6.5</v>
      </c>
      <c r="G102" s="217"/>
      <c r="H102" s="218"/>
      <c r="I102" s="218"/>
      <c r="J102" s="218">
        <v>6.5</v>
      </c>
      <c r="K102" s="218">
        <f>+J102</f>
        <v>6.5</v>
      </c>
      <c r="L102" s="219"/>
      <c r="M102" s="220">
        <f aca="true" t="shared" si="16" ref="M102:M114">+C102+F102</f>
        <v>805.313</v>
      </c>
    </row>
    <row r="103" spans="1:13" ht="25.5">
      <c r="A103" s="196" t="s">
        <v>85</v>
      </c>
      <c r="B103" s="211" t="s">
        <v>110</v>
      </c>
      <c r="C103" s="216">
        <v>32.037</v>
      </c>
      <c r="D103" s="218"/>
      <c r="E103" s="218"/>
      <c r="F103" s="220">
        <f t="shared" si="15"/>
        <v>0</v>
      </c>
      <c r="G103" s="217"/>
      <c r="H103" s="218"/>
      <c r="I103" s="218"/>
      <c r="J103" s="218"/>
      <c r="K103" s="218"/>
      <c r="L103" s="219"/>
      <c r="M103" s="220">
        <f t="shared" si="16"/>
        <v>32.037</v>
      </c>
    </row>
    <row r="104" spans="1:13" ht="27.75" customHeight="1">
      <c r="A104" s="196" t="s">
        <v>476</v>
      </c>
      <c r="B104" s="208" t="s">
        <v>478</v>
      </c>
      <c r="C104" s="216">
        <v>87.2</v>
      </c>
      <c r="D104" s="218"/>
      <c r="E104" s="218"/>
      <c r="F104" s="220">
        <f t="shared" si="15"/>
        <v>0</v>
      </c>
      <c r="G104" s="217"/>
      <c r="H104" s="218"/>
      <c r="I104" s="218"/>
      <c r="J104" s="218"/>
      <c r="K104" s="218"/>
      <c r="L104" s="219"/>
      <c r="M104" s="220">
        <f t="shared" si="16"/>
        <v>87.2</v>
      </c>
    </row>
    <row r="105" spans="1:13" ht="12.75">
      <c r="A105" s="196" t="s">
        <v>65</v>
      </c>
      <c r="B105" s="208" t="s">
        <v>190</v>
      </c>
      <c r="C105" s="216">
        <v>2198.584</v>
      </c>
      <c r="D105" s="235">
        <v>1359.945</v>
      </c>
      <c r="E105" s="235">
        <v>205.429</v>
      </c>
      <c r="F105" s="220">
        <f t="shared" si="15"/>
        <v>0</v>
      </c>
      <c r="G105" s="234"/>
      <c r="H105" s="235"/>
      <c r="I105" s="235"/>
      <c r="J105" s="235"/>
      <c r="K105" s="235"/>
      <c r="L105" s="241"/>
      <c r="M105" s="220">
        <f t="shared" si="16"/>
        <v>2198.584</v>
      </c>
    </row>
    <row r="106" spans="1:13" ht="81" customHeight="1" hidden="1" outlineLevel="1">
      <c r="A106" s="196" t="s">
        <v>19</v>
      </c>
      <c r="B106" s="208" t="s">
        <v>306</v>
      </c>
      <c r="C106" s="216"/>
      <c r="D106" s="228"/>
      <c r="E106" s="218"/>
      <c r="F106" s="220">
        <f>+G106+J106</f>
        <v>0</v>
      </c>
      <c r="G106" s="217"/>
      <c r="H106" s="218"/>
      <c r="I106" s="218"/>
      <c r="J106" s="218"/>
      <c r="K106" s="218"/>
      <c r="L106" s="219"/>
      <c r="M106" s="220">
        <f t="shared" si="16"/>
        <v>0</v>
      </c>
    </row>
    <row r="107" spans="1:13" ht="39.75" customHeight="1" collapsed="1">
      <c r="A107" s="196">
        <v>130104</v>
      </c>
      <c r="B107" s="208" t="s">
        <v>329</v>
      </c>
      <c r="C107" s="216">
        <f>1234.153-18.5</f>
        <v>1215.653</v>
      </c>
      <c r="D107" s="218">
        <v>825.602</v>
      </c>
      <c r="E107" s="218">
        <v>15.563</v>
      </c>
      <c r="F107" s="220">
        <f t="shared" si="15"/>
        <v>18.5</v>
      </c>
      <c r="G107" s="217"/>
      <c r="H107" s="218"/>
      <c r="I107" s="218"/>
      <c r="J107" s="218">
        <v>18.5</v>
      </c>
      <c r="K107" s="218">
        <f>+J107</f>
        <v>18.5</v>
      </c>
      <c r="L107" s="219"/>
      <c r="M107" s="220">
        <f t="shared" si="16"/>
        <v>1234.153</v>
      </c>
    </row>
    <row r="108" spans="1:13" ht="28.5" customHeight="1">
      <c r="A108" s="196" t="s">
        <v>138</v>
      </c>
      <c r="B108" s="208" t="s">
        <v>139</v>
      </c>
      <c r="C108" s="216">
        <v>2082.533</v>
      </c>
      <c r="D108" s="227">
        <v>573.88</v>
      </c>
      <c r="E108" s="227">
        <v>15.079</v>
      </c>
      <c r="F108" s="220">
        <f>+G108+J108</f>
        <v>0</v>
      </c>
      <c r="G108" s="306"/>
      <c r="H108" s="227"/>
      <c r="I108" s="227"/>
      <c r="J108" s="218"/>
      <c r="K108" s="218"/>
      <c r="L108" s="219"/>
      <c r="M108" s="220">
        <f t="shared" si="16"/>
        <v>2082.533</v>
      </c>
    </row>
    <row r="109" spans="1:13" ht="26.25" customHeight="1">
      <c r="A109" s="196" t="s">
        <v>20</v>
      </c>
      <c r="B109" s="208" t="s">
        <v>330</v>
      </c>
      <c r="C109" s="216">
        <f>9576.39-107.16</f>
        <v>9469.23</v>
      </c>
      <c r="D109" s="227">
        <v>5399.004</v>
      </c>
      <c r="E109" s="227">
        <v>990.882</v>
      </c>
      <c r="F109" s="220">
        <f>+G109+J109</f>
        <v>247.099</v>
      </c>
      <c r="G109" s="306">
        <v>119.939</v>
      </c>
      <c r="H109" s="227"/>
      <c r="I109" s="227">
        <v>1.788</v>
      </c>
      <c r="J109" s="218">
        <f>20+107.16</f>
        <v>127.16</v>
      </c>
      <c r="K109" s="218">
        <v>107.16</v>
      </c>
      <c r="L109" s="219"/>
      <c r="M109" s="220">
        <f t="shared" si="16"/>
        <v>9716.329</v>
      </c>
    </row>
    <row r="110" spans="1:13" ht="26.25" customHeight="1">
      <c r="A110" s="196" t="s">
        <v>141</v>
      </c>
      <c r="B110" s="208" t="s">
        <v>142</v>
      </c>
      <c r="C110" s="216">
        <f>4444.312-6.5</f>
        <v>4437.812</v>
      </c>
      <c r="D110" s="218">
        <v>2063.626</v>
      </c>
      <c r="E110" s="218">
        <v>1543.816</v>
      </c>
      <c r="F110" s="220">
        <f>+G110+J110</f>
        <v>1511.08</v>
      </c>
      <c r="G110" s="217">
        <v>1299.58</v>
      </c>
      <c r="H110" s="218">
        <f>420+152.88</f>
        <v>572.88</v>
      </c>
      <c r="I110" s="218">
        <v>107</v>
      </c>
      <c r="J110" s="218">
        <f>205+6.5</f>
        <v>211.5</v>
      </c>
      <c r="K110" s="218">
        <v>6.5</v>
      </c>
      <c r="L110" s="219"/>
      <c r="M110" s="220">
        <f t="shared" si="16"/>
        <v>5948.892</v>
      </c>
    </row>
    <row r="111" spans="1:13" ht="63.75">
      <c r="A111" s="196" t="s">
        <v>331</v>
      </c>
      <c r="B111" s="211" t="s">
        <v>336</v>
      </c>
      <c r="C111" s="216">
        <v>5262.534</v>
      </c>
      <c r="D111" s="218"/>
      <c r="E111" s="218"/>
      <c r="F111" s="220">
        <f>+G111+J111</f>
        <v>0</v>
      </c>
      <c r="G111" s="217"/>
      <c r="H111" s="218"/>
      <c r="I111" s="218"/>
      <c r="J111" s="218"/>
      <c r="K111" s="218"/>
      <c r="L111" s="219"/>
      <c r="M111" s="220">
        <f t="shared" si="16"/>
        <v>5262.534</v>
      </c>
    </row>
    <row r="112" spans="1:13" ht="38.25">
      <c r="A112" s="196" t="s">
        <v>86</v>
      </c>
      <c r="B112" s="212" t="s">
        <v>140</v>
      </c>
      <c r="C112" s="216">
        <v>133.72</v>
      </c>
      <c r="D112" s="218"/>
      <c r="E112" s="218"/>
      <c r="F112" s="220">
        <f t="shared" si="15"/>
        <v>0</v>
      </c>
      <c r="G112" s="217"/>
      <c r="H112" s="218"/>
      <c r="I112" s="218"/>
      <c r="J112" s="218"/>
      <c r="K112" s="218"/>
      <c r="L112" s="219"/>
      <c r="M112" s="220">
        <f t="shared" si="16"/>
        <v>133.72</v>
      </c>
    </row>
    <row r="113" spans="1:13" ht="12.75">
      <c r="A113" s="196">
        <v>130112</v>
      </c>
      <c r="B113" s="208" t="s">
        <v>337</v>
      </c>
      <c r="C113" s="216">
        <v>2983.186</v>
      </c>
      <c r="D113" s="218"/>
      <c r="E113" s="218"/>
      <c r="F113" s="220">
        <f t="shared" si="15"/>
        <v>0</v>
      </c>
      <c r="G113" s="217"/>
      <c r="H113" s="218"/>
      <c r="I113" s="218"/>
      <c r="J113" s="218"/>
      <c r="K113" s="218"/>
      <c r="L113" s="219"/>
      <c r="M113" s="220">
        <f t="shared" si="16"/>
        <v>2983.186</v>
      </c>
    </row>
    <row r="114" spans="1:13" ht="12.75" hidden="1" outlineLevel="1">
      <c r="A114" s="196" t="s">
        <v>89</v>
      </c>
      <c r="B114" s="208" t="s">
        <v>339</v>
      </c>
      <c r="C114" s="216"/>
      <c r="D114" s="218"/>
      <c r="E114" s="218"/>
      <c r="F114" s="216">
        <f>+G114+J114</f>
        <v>0</v>
      </c>
      <c r="G114" s="217"/>
      <c r="H114" s="218"/>
      <c r="I114" s="218"/>
      <c r="J114" s="218"/>
      <c r="K114" s="218">
        <f>+J114</f>
        <v>0</v>
      </c>
      <c r="L114" s="219"/>
      <c r="M114" s="220">
        <f t="shared" si="16"/>
        <v>0</v>
      </c>
    </row>
    <row r="115" spans="1:13" ht="25.5" collapsed="1">
      <c r="A115" s="197" t="s">
        <v>479</v>
      </c>
      <c r="B115" s="209" t="s">
        <v>216</v>
      </c>
      <c r="C115" s="236">
        <f>SUM(C116:C120)</f>
        <v>3042.252</v>
      </c>
      <c r="D115" s="238">
        <f aca="true" t="shared" si="17" ref="D115:M115">SUM(D116:D120)</f>
        <v>2154.209</v>
      </c>
      <c r="E115" s="238">
        <f t="shared" si="17"/>
        <v>185.96699999999998</v>
      </c>
      <c r="F115" s="226">
        <f t="shared" si="17"/>
        <v>0</v>
      </c>
      <c r="G115" s="237">
        <f>SUM(G116:G120)</f>
        <v>0</v>
      </c>
      <c r="H115" s="238">
        <f>SUM(H116:H120)</f>
        <v>0</v>
      </c>
      <c r="I115" s="238">
        <f>SUM(I116:I120)</f>
        <v>0</v>
      </c>
      <c r="J115" s="238">
        <f>SUM(J116:J120)</f>
        <v>0</v>
      </c>
      <c r="K115" s="238">
        <f t="shared" si="17"/>
        <v>0</v>
      </c>
      <c r="L115" s="239">
        <f>SUM(L116:L120)</f>
        <v>0</v>
      </c>
      <c r="M115" s="226">
        <f t="shared" si="17"/>
        <v>3042.252</v>
      </c>
    </row>
    <row r="116" spans="1:13" ht="12.75">
      <c r="A116" s="196" t="s">
        <v>64</v>
      </c>
      <c r="B116" s="289" t="s">
        <v>344</v>
      </c>
      <c r="C116" s="216">
        <v>2707.154</v>
      </c>
      <c r="D116" s="218">
        <v>1920.649</v>
      </c>
      <c r="E116" s="218">
        <v>181.934</v>
      </c>
      <c r="F116" s="220">
        <f>+G116+J116</f>
        <v>0</v>
      </c>
      <c r="G116" s="217"/>
      <c r="H116" s="218"/>
      <c r="I116" s="218"/>
      <c r="J116" s="218"/>
      <c r="K116" s="218"/>
      <c r="L116" s="219"/>
      <c r="M116" s="220">
        <f>+C116+F116</f>
        <v>2707.154</v>
      </c>
    </row>
    <row r="117" spans="1:13" ht="25.5">
      <c r="A117" s="196" t="s">
        <v>63</v>
      </c>
      <c r="B117" s="213" t="s">
        <v>300</v>
      </c>
      <c r="C117" s="216">
        <v>255.998</v>
      </c>
      <c r="D117" s="218">
        <v>233.56</v>
      </c>
      <c r="E117" s="218">
        <v>4.033</v>
      </c>
      <c r="F117" s="220">
        <f>+G117+J117</f>
        <v>0</v>
      </c>
      <c r="G117" s="217"/>
      <c r="H117" s="218"/>
      <c r="I117" s="218"/>
      <c r="J117" s="218"/>
      <c r="K117" s="218"/>
      <c r="L117" s="219"/>
      <c r="M117" s="220">
        <f>+C117+F117</f>
        <v>255.998</v>
      </c>
    </row>
    <row r="118" spans="1:13" ht="12.75" hidden="1" outlineLevel="1">
      <c r="A118" s="196" t="s">
        <v>65</v>
      </c>
      <c r="B118" s="208" t="s">
        <v>190</v>
      </c>
      <c r="C118" s="216"/>
      <c r="D118" s="218"/>
      <c r="E118" s="218"/>
      <c r="F118" s="220">
        <f>+G118+J118</f>
        <v>0</v>
      </c>
      <c r="G118" s="217"/>
      <c r="H118" s="218"/>
      <c r="I118" s="218"/>
      <c r="J118" s="218"/>
      <c r="K118" s="218"/>
      <c r="L118" s="219"/>
      <c r="M118" s="220">
        <f>+C118+F118</f>
        <v>0</v>
      </c>
    </row>
    <row r="119" spans="1:13" ht="26.25" customHeight="1" collapsed="1">
      <c r="A119" s="196" t="s">
        <v>480</v>
      </c>
      <c r="B119" s="289" t="s">
        <v>345</v>
      </c>
      <c r="C119" s="216">
        <v>79.1</v>
      </c>
      <c r="D119" s="218"/>
      <c r="E119" s="218"/>
      <c r="F119" s="220">
        <f>+G119+J119</f>
        <v>0</v>
      </c>
      <c r="G119" s="217"/>
      <c r="H119" s="218"/>
      <c r="I119" s="218"/>
      <c r="J119" s="218"/>
      <c r="K119" s="218"/>
      <c r="L119" s="219"/>
      <c r="M119" s="220">
        <f>+C119+F119</f>
        <v>79.1</v>
      </c>
    </row>
    <row r="120" spans="1:13" ht="12.75" hidden="1" outlineLevel="1">
      <c r="A120" s="196" t="s">
        <v>89</v>
      </c>
      <c r="B120" s="208" t="s">
        <v>339</v>
      </c>
      <c r="C120" s="216"/>
      <c r="D120" s="218"/>
      <c r="E120" s="218"/>
      <c r="F120" s="216">
        <f>+G120+J120</f>
        <v>0</v>
      </c>
      <c r="G120" s="217"/>
      <c r="H120" s="218"/>
      <c r="I120" s="218"/>
      <c r="J120" s="218"/>
      <c r="K120" s="218">
        <f>+J120</f>
        <v>0</v>
      </c>
      <c r="L120" s="219"/>
      <c r="M120" s="220">
        <f>+C120+F120</f>
        <v>0</v>
      </c>
    </row>
    <row r="121" spans="1:13" ht="51" collapsed="1">
      <c r="A121" s="197" t="s">
        <v>557</v>
      </c>
      <c r="B121" s="209" t="s">
        <v>218</v>
      </c>
      <c r="C121" s="222">
        <f>SUM(C122:C133)</f>
        <v>0</v>
      </c>
      <c r="D121" s="224">
        <f aca="true" t="shared" si="18" ref="D121:M121">SUM(D122:D133)</f>
        <v>0</v>
      </c>
      <c r="E121" s="224">
        <f t="shared" si="18"/>
        <v>0</v>
      </c>
      <c r="F121" s="226">
        <f t="shared" si="18"/>
        <v>39369.5</v>
      </c>
      <c r="G121" s="223">
        <f>SUM(G122:G133)</f>
        <v>1370</v>
      </c>
      <c r="H121" s="224">
        <f>SUM(H122:H133)</f>
        <v>0</v>
      </c>
      <c r="I121" s="224">
        <f>SUM(I122:I133)</f>
        <v>0</v>
      </c>
      <c r="J121" s="224">
        <f>SUM(J122:J133)</f>
        <v>37999.5</v>
      </c>
      <c r="K121" s="224">
        <f t="shared" si="18"/>
        <v>0</v>
      </c>
      <c r="L121" s="225">
        <f>SUM(L122:L133)</f>
        <v>0</v>
      </c>
      <c r="M121" s="226">
        <f t="shared" si="18"/>
        <v>39369.5</v>
      </c>
    </row>
    <row r="122" spans="1:13" ht="25.5" hidden="1" outlineLevel="1">
      <c r="A122" s="196" t="s">
        <v>87</v>
      </c>
      <c r="B122" s="208" t="s">
        <v>541</v>
      </c>
      <c r="C122" s="242"/>
      <c r="D122" s="218"/>
      <c r="E122" s="218"/>
      <c r="F122" s="220">
        <f aca="true" t="shared" si="19" ref="F122:F127">+G122+J122</f>
        <v>0</v>
      </c>
      <c r="G122" s="234"/>
      <c r="H122" s="218"/>
      <c r="I122" s="218"/>
      <c r="J122" s="218"/>
      <c r="K122" s="218"/>
      <c r="L122" s="219"/>
      <c r="M122" s="220">
        <f aca="true" t="shared" si="20" ref="M122:M133">+C122+F122</f>
        <v>0</v>
      </c>
    </row>
    <row r="123" spans="1:13" ht="12.75" customHeight="1" hidden="1" outlineLevel="1" collapsed="1">
      <c r="A123" s="196" t="s">
        <v>57</v>
      </c>
      <c r="B123" s="208" t="s">
        <v>603</v>
      </c>
      <c r="C123" s="216"/>
      <c r="D123" s="218"/>
      <c r="E123" s="218"/>
      <c r="F123" s="220">
        <f t="shared" si="19"/>
        <v>0</v>
      </c>
      <c r="G123" s="217"/>
      <c r="H123" s="218"/>
      <c r="I123" s="218"/>
      <c r="J123" s="218"/>
      <c r="K123" s="218"/>
      <c r="L123" s="219"/>
      <c r="M123" s="220">
        <f t="shared" si="20"/>
        <v>0</v>
      </c>
    </row>
    <row r="124" spans="1:13" ht="25.5" hidden="1" outlineLevel="1" collapsed="1">
      <c r="A124" s="274" t="s">
        <v>334</v>
      </c>
      <c r="B124" s="287" t="s">
        <v>335</v>
      </c>
      <c r="C124" s="298"/>
      <c r="D124" s="246"/>
      <c r="E124" s="246"/>
      <c r="F124" s="262">
        <f t="shared" si="19"/>
        <v>0</v>
      </c>
      <c r="G124" s="301"/>
      <c r="H124" s="246"/>
      <c r="I124" s="246"/>
      <c r="J124" s="246"/>
      <c r="K124" s="246"/>
      <c r="L124" s="299"/>
      <c r="M124" s="262">
        <f t="shared" si="20"/>
        <v>0</v>
      </c>
    </row>
    <row r="125" spans="1:13" ht="12.75" customHeight="1" hidden="1" outlineLevel="1">
      <c r="A125" s="198" t="s">
        <v>89</v>
      </c>
      <c r="B125" s="211" t="s">
        <v>339</v>
      </c>
      <c r="C125" s="216"/>
      <c r="D125" s="218"/>
      <c r="E125" s="218"/>
      <c r="F125" s="220">
        <f t="shared" si="19"/>
        <v>0</v>
      </c>
      <c r="G125" s="217"/>
      <c r="H125" s="218"/>
      <c r="I125" s="218"/>
      <c r="J125" s="218"/>
      <c r="K125" s="218">
        <f>+J125</f>
        <v>0</v>
      </c>
      <c r="L125" s="219"/>
      <c r="M125" s="220">
        <f t="shared" si="20"/>
        <v>0</v>
      </c>
    </row>
    <row r="126" spans="1:13" ht="25.5" hidden="1" outlineLevel="1">
      <c r="A126" s="278">
        <v>180107</v>
      </c>
      <c r="B126" s="288" t="s">
        <v>258</v>
      </c>
      <c r="C126" s="216"/>
      <c r="D126" s="218"/>
      <c r="E126" s="218"/>
      <c r="F126" s="220">
        <f t="shared" si="19"/>
        <v>0</v>
      </c>
      <c r="G126" s="217"/>
      <c r="H126" s="218"/>
      <c r="I126" s="218"/>
      <c r="J126" s="218"/>
      <c r="K126" s="218"/>
      <c r="L126" s="219"/>
      <c r="M126" s="220">
        <f t="shared" si="20"/>
        <v>0</v>
      </c>
    </row>
    <row r="127" spans="1:13" ht="51" collapsed="1">
      <c r="A127" s="196">
        <v>170703</v>
      </c>
      <c r="B127" s="208" t="s">
        <v>111</v>
      </c>
      <c r="C127" s="216"/>
      <c r="D127" s="218"/>
      <c r="E127" s="218"/>
      <c r="F127" s="220">
        <f t="shared" si="19"/>
        <v>7805</v>
      </c>
      <c r="G127" s="217"/>
      <c r="H127" s="218"/>
      <c r="I127" s="218"/>
      <c r="J127" s="218">
        <v>7805</v>
      </c>
      <c r="K127" s="218"/>
      <c r="L127" s="219"/>
      <c r="M127" s="220">
        <f t="shared" si="20"/>
        <v>7805</v>
      </c>
    </row>
    <row r="128" spans="1:13" ht="63.75" hidden="1" outlineLevel="1">
      <c r="A128" s="274" t="s">
        <v>187</v>
      </c>
      <c r="B128" s="287" t="s">
        <v>188</v>
      </c>
      <c r="C128" s="216"/>
      <c r="D128" s="218"/>
      <c r="E128" s="218"/>
      <c r="F128" s="220">
        <f aca="true" t="shared" si="21" ref="F128:F133">+G128+J128</f>
        <v>0</v>
      </c>
      <c r="G128" s="217"/>
      <c r="H128" s="218"/>
      <c r="I128" s="218"/>
      <c r="J128" s="218"/>
      <c r="K128" s="218"/>
      <c r="L128" s="219"/>
      <c r="M128" s="220">
        <f t="shared" si="20"/>
        <v>0</v>
      </c>
    </row>
    <row r="129" spans="1:13" ht="25.5" collapsed="1">
      <c r="A129" s="196">
        <v>240601</v>
      </c>
      <c r="B129" s="208" t="s">
        <v>576</v>
      </c>
      <c r="C129" s="216"/>
      <c r="D129" s="218"/>
      <c r="E129" s="218"/>
      <c r="F129" s="220">
        <f t="shared" si="21"/>
        <v>19614.2</v>
      </c>
      <c r="G129" s="217">
        <v>700</v>
      </c>
      <c r="H129" s="218"/>
      <c r="I129" s="218"/>
      <c r="J129" s="218">
        <v>18914.2</v>
      </c>
      <c r="K129" s="218"/>
      <c r="L129" s="219"/>
      <c r="M129" s="220">
        <f t="shared" si="20"/>
        <v>19614.2</v>
      </c>
    </row>
    <row r="130" spans="1:13" ht="12.75">
      <c r="A130" s="196">
        <v>240602</v>
      </c>
      <c r="B130" s="208" t="s">
        <v>578</v>
      </c>
      <c r="C130" s="216"/>
      <c r="D130" s="218"/>
      <c r="E130" s="218"/>
      <c r="F130" s="220">
        <f t="shared" si="21"/>
        <v>11030.3</v>
      </c>
      <c r="G130" s="217"/>
      <c r="H130" s="218"/>
      <c r="I130" s="218"/>
      <c r="J130" s="218">
        <v>11030.3</v>
      </c>
      <c r="K130" s="218"/>
      <c r="L130" s="219"/>
      <c r="M130" s="220">
        <f t="shared" si="20"/>
        <v>11030.3</v>
      </c>
    </row>
    <row r="131" spans="1:13" ht="24.75" customHeight="1" hidden="1" outlineLevel="1">
      <c r="A131" s="196">
        <v>240603</v>
      </c>
      <c r="B131" s="208" t="s">
        <v>601</v>
      </c>
      <c r="C131" s="216"/>
      <c r="D131" s="218"/>
      <c r="E131" s="218"/>
      <c r="F131" s="220">
        <f t="shared" si="21"/>
        <v>0</v>
      </c>
      <c r="G131" s="217"/>
      <c r="H131" s="218"/>
      <c r="I131" s="218"/>
      <c r="J131" s="218"/>
      <c r="K131" s="218"/>
      <c r="L131" s="219"/>
      <c r="M131" s="220">
        <f t="shared" si="20"/>
        <v>0</v>
      </c>
    </row>
    <row r="132" spans="1:13" ht="40.5" customHeight="1" collapsed="1">
      <c r="A132" s="196">
        <v>240604</v>
      </c>
      <c r="B132" s="208" t="s">
        <v>602</v>
      </c>
      <c r="C132" s="216"/>
      <c r="D132" s="218"/>
      <c r="E132" s="218"/>
      <c r="F132" s="220">
        <f t="shared" si="21"/>
        <v>270</v>
      </c>
      <c r="G132" s="217">
        <v>20</v>
      </c>
      <c r="H132" s="218"/>
      <c r="I132" s="218"/>
      <c r="J132" s="218">
        <v>250</v>
      </c>
      <c r="K132" s="218"/>
      <c r="L132" s="219"/>
      <c r="M132" s="220">
        <f t="shared" si="20"/>
        <v>270</v>
      </c>
    </row>
    <row r="133" spans="1:13" ht="25.5" collapsed="1">
      <c r="A133" s="196">
        <v>240605</v>
      </c>
      <c r="B133" s="208" t="s">
        <v>380</v>
      </c>
      <c r="C133" s="216"/>
      <c r="D133" s="218"/>
      <c r="E133" s="218"/>
      <c r="F133" s="220">
        <f t="shared" si="21"/>
        <v>650</v>
      </c>
      <c r="G133" s="217">
        <v>650</v>
      </c>
      <c r="H133" s="218"/>
      <c r="I133" s="218"/>
      <c r="J133" s="218"/>
      <c r="K133" s="218"/>
      <c r="L133" s="219"/>
      <c r="M133" s="220">
        <f t="shared" si="20"/>
        <v>650</v>
      </c>
    </row>
    <row r="134" spans="1:13" ht="38.25">
      <c r="A134" s="200" t="s">
        <v>499</v>
      </c>
      <c r="B134" s="209" t="s">
        <v>222</v>
      </c>
      <c r="C134" s="222">
        <f aca="true" t="shared" si="22" ref="C134:M134">SUM(C135:C137)</f>
        <v>12252</v>
      </c>
      <c r="D134" s="224">
        <f t="shared" si="22"/>
        <v>0</v>
      </c>
      <c r="E134" s="224">
        <f t="shared" si="22"/>
        <v>0</v>
      </c>
      <c r="F134" s="226">
        <f t="shared" si="22"/>
        <v>0</v>
      </c>
      <c r="G134" s="223">
        <f t="shared" si="22"/>
        <v>0</v>
      </c>
      <c r="H134" s="224">
        <f t="shared" si="22"/>
        <v>0</v>
      </c>
      <c r="I134" s="224">
        <f t="shared" si="22"/>
        <v>0</v>
      </c>
      <c r="J134" s="224">
        <f t="shared" si="22"/>
        <v>0</v>
      </c>
      <c r="K134" s="224">
        <f t="shared" si="22"/>
        <v>0</v>
      </c>
      <c r="L134" s="225">
        <f t="shared" si="22"/>
        <v>0</v>
      </c>
      <c r="M134" s="226">
        <f t="shared" si="22"/>
        <v>12252</v>
      </c>
    </row>
    <row r="135" spans="1:13" ht="38.25" customHeight="1" hidden="1" outlineLevel="1">
      <c r="A135" s="196" t="s">
        <v>82</v>
      </c>
      <c r="B135" s="208" t="s">
        <v>377</v>
      </c>
      <c r="C135" s="216"/>
      <c r="D135" s="218"/>
      <c r="E135" s="218"/>
      <c r="F135" s="220">
        <f>+G135+J135</f>
        <v>0</v>
      </c>
      <c r="G135" s="217"/>
      <c r="H135" s="218"/>
      <c r="I135" s="218"/>
      <c r="J135" s="218"/>
      <c r="K135" s="218"/>
      <c r="L135" s="219"/>
      <c r="M135" s="220">
        <f>+C135+F135</f>
        <v>0</v>
      </c>
    </row>
    <row r="136" spans="1:13" ht="12.75" customHeight="1" hidden="1" outlineLevel="1" collapsed="1">
      <c r="A136" s="198" t="s">
        <v>89</v>
      </c>
      <c r="B136" s="211" t="s">
        <v>339</v>
      </c>
      <c r="C136" s="216"/>
      <c r="D136" s="218"/>
      <c r="E136" s="218"/>
      <c r="F136" s="220">
        <f>+G136+J136</f>
        <v>0</v>
      </c>
      <c r="G136" s="217"/>
      <c r="H136" s="218"/>
      <c r="I136" s="218"/>
      <c r="J136" s="218"/>
      <c r="K136" s="218">
        <f>+J136</f>
        <v>0</v>
      </c>
      <c r="L136" s="219"/>
      <c r="M136" s="220">
        <f>+C136+F136</f>
        <v>0</v>
      </c>
    </row>
    <row r="137" spans="1:13" ht="12.75" collapsed="1">
      <c r="A137" s="196" t="s">
        <v>57</v>
      </c>
      <c r="B137" s="208" t="s">
        <v>603</v>
      </c>
      <c r="C137" s="216">
        <v>12252</v>
      </c>
      <c r="D137" s="218"/>
      <c r="E137" s="218"/>
      <c r="F137" s="220">
        <f>+G137+J137</f>
        <v>0</v>
      </c>
      <c r="G137" s="217"/>
      <c r="H137" s="218"/>
      <c r="I137" s="218"/>
      <c r="J137" s="218"/>
      <c r="K137" s="218">
        <f>+J137</f>
        <v>0</v>
      </c>
      <c r="L137" s="219"/>
      <c r="M137" s="220">
        <f>+C137+F137</f>
        <v>12252</v>
      </c>
    </row>
    <row r="138" spans="1:14" ht="25.5">
      <c r="A138" s="197" t="s">
        <v>500</v>
      </c>
      <c r="B138" s="209" t="s">
        <v>172</v>
      </c>
      <c r="C138" s="222">
        <f aca="true" t="shared" si="23" ref="C138:M138">SUM(C139:C151)</f>
        <v>85056.875</v>
      </c>
      <c r="D138" s="224">
        <f t="shared" si="23"/>
        <v>40062.125</v>
      </c>
      <c r="E138" s="224">
        <f t="shared" si="23"/>
        <v>5309.727</v>
      </c>
      <c r="F138" s="226">
        <f t="shared" si="23"/>
        <v>4334.754</v>
      </c>
      <c r="G138" s="223">
        <f t="shared" si="23"/>
        <v>2350.723</v>
      </c>
      <c r="H138" s="224">
        <f t="shared" si="23"/>
        <v>1681.807</v>
      </c>
      <c r="I138" s="224">
        <f t="shared" si="23"/>
        <v>234.15</v>
      </c>
      <c r="J138" s="224">
        <f t="shared" si="23"/>
        <v>1984.031</v>
      </c>
      <c r="K138" s="224">
        <f t="shared" si="23"/>
        <v>1965.2540000000001</v>
      </c>
      <c r="L138" s="225">
        <f t="shared" si="23"/>
        <v>0</v>
      </c>
      <c r="M138" s="226">
        <f t="shared" si="23"/>
        <v>89391.629</v>
      </c>
      <c r="N138" s="363"/>
    </row>
    <row r="139" spans="1:15" ht="12.75">
      <c r="A139" s="196">
        <v>110102</v>
      </c>
      <c r="B139" s="208" t="s">
        <v>317</v>
      </c>
      <c r="C139" s="216">
        <v>21247.428</v>
      </c>
      <c r="D139" s="218"/>
      <c r="E139" s="218"/>
      <c r="F139" s="220">
        <f aca="true" t="shared" si="24" ref="F139:F150">+G139+J139</f>
        <v>314.685</v>
      </c>
      <c r="G139" s="217"/>
      <c r="H139" s="218"/>
      <c r="I139" s="218"/>
      <c r="J139" s="218">
        <v>314.685</v>
      </c>
      <c r="K139" s="218">
        <f>+J139</f>
        <v>314.685</v>
      </c>
      <c r="L139" s="219"/>
      <c r="M139" s="220">
        <f aca="true" t="shared" si="25" ref="M139:M151">+C139+F139</f>
        <v>21562.113</v>
      </c>
      <c r="O139" s="100"/>
    </row>
    <row r="140" spans="1:13" ht="37.5" customHeight="1" collapsed="1">
      <c r="A140" s="196">
        <v>110103</v>
      </c>
      <c r="B140" s="208" t="s">
        <v>318</v>
      </c>
      <c r="C140" s="216">
        <v>10138.394</v>
      </c>
      <c r="D140" s="218">
        <v>130.66</v>
      </c>
      <c r="E140" s="218"/>
      <c r="F140" s="220">
        <f t="shared" si="24"/>
        <v>242.509</v>
      </c>
      <c r="G140" s="217"/>
      <c r="H140" s="218"/>
      <c r="I140" s="218"/>
      <c r="J140" s="218">
        <v>242.509</v>
      </c>
      <c r="K140" s="218">
        <f>+J140</f>
        <v>242.509</v>
      </c>
      <c r="L140" s="219"/>
      <c r="M140" s="220">
        <f t="shared" si="25"/>
        <v>10380.903</v>
      </c>
    </row>
    <row r="141" spans="1:13" ht="25.5" hidden="1" outlineLevel="1">
      <c r="A141" s="196" t="s">
        <v>173</v>
      </c>
      <c r="B141" s="208" t="s">
        <v>174</v>
      </c>
      <c r="C141" s="216"/>
      <c r="D141" s="218"/>
      <c r="E141" s="218"/>
      <c r="F141" s="220">
        <f t="shared" si="24"/>
        <v>0</v>
      </c>
      <c r="G141" s="217"/>
      <c r="H141" s="218"/>
      <c r="I141" s="218"/>
      <c r="J141" s="218"/>
      <c r="K141" s="218"/>
      <c r="L141" s="219"/>
      <c r="M141" s="220">
        <f t="shared" si="25"/>
        <v>0</v>
      </c>
    </row>
    <row r="142" spans="1:13" ht="12.75" collapsed="1">
      <c r="A142" s="196">
        <v>110201</v>
      </c>
      <c r="B142" s="208" t="s">
        <v>319</v>
      </c>
      <c r="C142" s="216">
        <v>11196.735</v>
      </c>
      <c r="D142" s="218">
        <v>9870.235</v>
      </c>
      <c r="E142" s="218">
        <v>833.622</v>
      </c>
      <c r="F142" s="220">
        <f t="shared" si="24"/>
        <v>1123.5</v>
      </c>
      <c r="G142" s="217">
        <v>64.7</v>
      </c>
      <c r="H142" s="218"/>
      <c r="I142" s="218">
        <v>3.45</v>
      </c>
      <c r="J142" s="218">
        <v>1058.8</v>
      </c>
      <c r="K142" s="218">
        <v>1058.8</v>
      </c>
      <c r="L142" s="219"/>
      <c r="M142" s="220">
        <f t="shared" si="25"/>
        <v>12320.235</v>
      </c>
    </row>
    <row r="143" spans="1:13" ht="12.75">
      <c r="A143" s="196">
        <v>110202</v>
      </c>
      <c r="B143" s="208" t="s">
        <v>320</v>
      </c>
      <c r="C143" s="216">
        <v>10595.05</v>
      </c>
      <c r="D143" s="218">
        <v>6912.197</v>
      </c>
      <c r="E143" s="218">
        <v>1718.314</v>
      </c>
      <c r="F143" s="220">
        <f t="shared" si="24"/>
        <v>258.774</v>
      </c>
      <c r="G143" s="217">
        <f>130.5-7.777</f>
        <v>122.723</v>
      </c>
      <c r="H143" s="218">
        <f>16+5.792</f>
        <v>21.792</v>
      </c>
      <c r="I143" s="218">
        <v>10.9</v>
      </c>
      <c r="J143" s="218">
        <f>7.777+128.274</f>
        <v>136.051</v>
      </c>
      <c r="K143" s="218">
        <v>128.274</v>
      </c>
      <c r="L143" s="219"/>
      <c r="M143" s="220">
        <f t="shared" si="25"/>
        <v>10853.823999999999</v>
      </c>
    </row>
    <row r="144" spans="1:13" ht="25.5">
      <c r="A144" s="196" t="s">
        <v>175</v>
      </c>
      <c r="B144" s="208" t="s">
        <v>176</v>
      </c>
      <c r="C144" s="216">
        <v>1946.75</v>
      </c>
      <c r="D144" s="218">
        <v>1301.705</v>
      </c>
      <c r="E144" s="218">
        <v>526.377</v>
      </c>
      <c r="F144" s="220">
        <f t="shared" si="24"/>
        <v>157.72</v>
      </c>
      <c r="G144" s="217">
        <f>145-8</f>
        <v>137</v>
      </c>
      <c r="H144" s="218">
        <f>52+16.5</f>
        <v>68.5</v>
      </c>
      <c r="I144" s="218">
        <v>17</v>
      </c>
      <c r="J144" s="218">
        <f>8+12.72</f>
        <v>20.72</v>
      </c>
      <c r="K144" s="218">
        <v>12.72</v>
      </c>
      <c r="L144" s="219"/>
      <c r="M144" s="220">
        <f t="shared" si="25"/>
        <v>2104.47</v>
      </c>
    </row>
    <row r="145" spans="1:13" ht="12.75" customHeight="1" hidden="1" outlineLevel="1" collapsed="1">
      <c r="A145" s="196" t="s">
        <v>296</v>
      </c>
      <c r="B145" s="208" t="s">
        <v>297</v>
      </c>
      <c r="C145" s="216"/>
      <c r="D145" s="218"/>
      <c r="E145" s="218"/>
      <c r="F145" s="220">
        <f>+G145+J145</f>
        <v>0</v>
      </c>
      <c r="G145" s="217"/>
      <c r="H145" s="218"/>
      <c r="I145" s="218"/>
      <c r="J145" s="218"/>
      <c r="K145" s="218"/>
      <c r="L145" s="219"/>
      <c r="M145" s="220">
        <f t="shared" si="25"/>
        <v>0</v>
      </c>
    </row>
    <row r="146" spans="1:13" ht="25.5" collapsed="1">
      <c r="A146" s="196" t="s">
        <v>41</v>
      </c>
      <c r="B146" s="208" t="s">
        <v>102</v>
      </c>
      <c r="C146" s="216">
        <v>27641.492</v>
      </c>
      <c r="D146" s="218">
        <v>20132.856</v>
      </c>
      <c r="E146" s="218">
        <v>1900.355</v>
      </c>
      <c r="F146" s="220">
        <f t="shared" si="24"/>
        <v>2187.366</v>
      </c>
      <c r="G146" s="217">
        <f>2009.3-3</f>
        <v>2006.3</v>
      </c>
      <c r="H146" s="218">
        <f>1157.254+421.246</f>
        <v>1578.5</v>
      </c>
      <c r="I146" s="218">
        <v>202.8</v>
      </c>
      <c r="J146" s="218">
        <f>3+178.066</f>
        <v>181.066</v>
      </c>
      <c r="K146" s="218">
        <v>178.066</v>
      </c>
      <c r="L146" s="219"/>
      <c r="M146" s="220">
        <f t="shared" si="25"/>
        <v>29828.858</v>
      </c>
    </row>
    <row r="147" spans="1:13" ht="26.25" customHeight="1" hidden="1" outlineLevel="1">
      <c r="A147" s="196" t="s">
        <v>9</v>
      </c>
      <c r="B147" s="208" t="s">
        <v>501</v>
      </c>
      <c r="C147" s="216"/>
      <c r="D147" s="218"/>
      <c r="E147" s="218"/>
      <c r="F147" s="220">
        <f t="shared" si="24"/>
        <v>0</v>
      </c>
      <c r="G147" s="217"/>
      <c r="H147" s="218"/>
      <c r="I147" s="218"/>
      <c r="J147" s="218"/>
      <c r="K147" s="218"/>
      <c r="L147" s="219"/>
      <c r="M147" s="220">
        <f t="shared" si="25"/>
        <v>0</v>
      </c>
    </row>
    <row r="148" spans="1:13" ht="24" customHeight="1" collapsed="1">
      <c r="A148" s="196" t="s">
        <v>177</v>
      </c>
      <c r="B148" s="208" t="s">
        <v>324</v>
      </c>
      <c r="C148" s="216">
        <v>2291.026</v>
      </c>
      <c r="D148" s="218">
        <v>1714.472</v>
      </c>
      <c r="E148" s="218">
        <v>331.059</v>
      </c>
      <c r="F148" s="220">
        <f t="shared" si="24"/>
        <v>50.2</v>
      </c>
      <c r="G148" s="217">
        <v>20</v>
      </c>
      <c r="H148" s="218">
        <f>9.553+3.462</f>
        <v>13.015</v>
      </c>
      <c r="I148" s="218"/>
      <c r="J148" s="218">
        <v>30.2</v>
      </c>
      <c r="K148" s="218">
        <f>+J148</f>
        <v>30.2</v>
      </c>
      <c r="L148" s="219"/>
      <c r="M148" s="220">
        <f t="shared" si="25"/>
        <v>2341.2259999999997</v>
      </c>
    </row>
    <row r="149" spans="1:13" ht="89.25" hidden="1" outlineLevel="1">
      <c r="A149" s="196" t="s">
        <v>21</v>
      </c>
      <c r="B149" s="211" t="s">
        <v>22</v>
      </c>
      <c r="C149" s="216"/>
      <c r="D149" s="218"/>
      <c r="E149" s="218"/>
      <c r="F149" s="220">
        <f>+G149+J149</f>
        <v>0</v>
      </c>
      <c r="G149" s="217"/>
      <c r="H149" s="218"/>
      <c r="I149" s="218"/>
      <c r="J149" s="218"/>
      <c r="K149" s="218"/>
      <c r="L149" s="219"/>
      <c r="M149" s="220">
        <f t="shared" si="25"/>
        <v>0</v>
      </c>
    </row>
    <row r="150" spans="1:13" ht="12.75" hidden="1" outlineLevel="1" collapsed="1">
      <c r="A150" s="196" t="s">
        <v>89</v>
      </c>
      <c r="B150" s="208" t="s">
        <v>339</v>
      </c>
      <c r="C150" s="216"/>
      <c r="D150" s="218"/>
      <c r="E150" s="218"/>
      <c r="F150" s="220">
        <f t="shared" si="24"/>
        <v>0</v>
      </c>
      <c r="G150" s="217"/>
      <c r="H150" s="218"/>
      <c r="I150" s="218"/>
      <c r="J150" s="218"/>
      <c r="K150" s="218">
        <f>+J150</f>
        <v>0</v>
      </c>
      <c r="L150" s="219"/>
      <c r="M150" s="220">
        <f t="shared" si="25"/>
        <v>0</v>
      </c>
    </row>
    <row r="151" spans="1:13" ht="38.25" hidden="1" outlineLevel="1">
      <c r="A151" s="196" t="s">
        <v>484</v>
      </c>
      <c r="B151" s="208" t="s">
        <v>498</v>
      </c>
      <c r="C151" s="216"/>
      <c r="D151" s="218"/>
      <c r="E151" s="218"/>
      <c r="F151" s="220">
        <f>+G151+J151</f>
        <v>0</v>
      </c>
      <c r="G151" s="217"/>
      <c r="H151" s="218"/>
      <c r="I151" s="218"/>
      <c r="J151" s="218"/>
      <c r="K151" s="218"/>
      <c r="L151" s="219"/>
      <c r="M151" s="220">
        <f t="shared" si="25"/>
        <v>0</v>
      </c>
    </row>
    <row r="152" spans="1:13" ht="38.25" collapsed="1">
      <c r="A152" s="200" t="s">
        <v>502</v>
      </c>
      <c r="B152" s="209" t="s">
        <v>221</v>
      </c>
      <c r="C152" s="222">
        <f aca="true" t="shared" si="26" ref="C152:M152">+C153+C154</f>
        <v>477.622</v>
      </c>
      <c r="D152" s="224">
        <f t="shared" si="26"/>
        <v>0</v>
      </c>
      <c r="E152" s="224">
        <f t="shared" si="26"/>
        <v>0</v>
      </c>
      <c r="F152" s="226">
        <f t="shared" si="26"/>
        <v>0</v>
      </c>
      <c r="G152" s="223">
        <f t="shared" si="26"/>
        <v>0</v>
      </c>
      <c r="H152" s="224">
        <f t="shared" si="26"/>
        <v>0</v>
      </c>
      <c r="I152" s="224">
        <f t="shared" si="26"/>
        <v>0</v>
      </c>
      <c r="J152" s="224">
        <f t="shared" si="26"/>
        <v>0</v>
      </c>
      <c r="K152" s="224">
        <f t="shared" si="26"/>
        <v>0</v>
      </c>
      <c r="L152" s="225">
        <f t="shared" si="26"/>
        <v>0</v>
      </c>
      <c r="M152" s="226">
        <f t="shared" si="26"/>
        <v>477.622</v>
      </c>
    </row>
    <row r="153" spans="1:13" ht="12.75">
      <c r="A153" s="196">
        <v>120400</v>
      </c>
      <c r="B153" s="208" t="s">
        <v>504</v>
      </c>
      <c r="C153" s="216">
        <v>447.422</v>
      </c>
      <c r="D153" s="218"/>
      <c r="E153" s="218"/>
      <c r="F153" s="220">
        <f>+G153+J153</f>
        <v>0</v>
      </c>
      <c r="G153" s="217"/>
      <c r="H153" s="218"/>
      <c r="I153" s="218"/>
      <c r="J153" s="218"/>
      <c r="K153" s="218"/>
      <c r="L153" s="219"/>
      <c r="M153" s="220">
        <f>+C153+F153</f>
        <v>447.422</v>
      </c>
    </row>
    <row r="154" spans="1:13" ht="12.75">
      <c r="A154" s="196" t="s">
        <v>57</v>
      </c>
      <c r="B154" s="208" t="s">
        <v>58</v>
      </c>
      <c r="C154" s="216">
        <v>30.2</v>
      </c>
      <c r="D154" s="218"/>
      <c r="E154" s="218"/>
      <c r="F154" s="220">
        <f>+G154+J154</f>
        <v>0</v>
      </c>
      <c r="G154" s="217"/>
      <c r="H154" s="218"/>
      <c r="I154" s="218"/>
      <c r="J154" s="218"/>
      <c r="K154" s="218"/>
      <c r="L154" s="219"/>
      <c r="M154" s="220">
        <f>+C154+F154</f>
        <v>30.2</v>
      </c>
    </row>
    <row r="155" spans="1:13" ht="27" customHeight="1" hidden="1" outlineLevel="1">
      <c r="A155" s="197" t="s">
        <v>505</v>
      </c>
      <c r="B155" s="209" t="s">
        <v>178</v>
      </c>
      <c r="C155" s="222">
        <f aca="true" t="shared" si="27" ref="C155:M155">+C156+C157</f>
        <v>0</v>
      </c>
      <c r="D155" s="224">
        <f t="shared" si="27"/>
        <v>0</v>
      </c>
      <c r="E155" s="224">
        <f t="shared" si="27"/>
        <v>0</v>
      </c>
      <c r="F155" s="226">
        <f t="shared" si="27"/>
        <v>0</v>
      </c>
      <c r="G155" s="223">
        <f t="shared" si="27"/>
        <v>0</v>
      </c>
      <c r="H155" s="224">
        <f t="shared" si="27"/>
        <v>0</v>
      </c>
      <c r="I155" s="224">
        <f t="shared" si="27"/>
        <v>0</v>
      </c>
      <c r="J155" s="224">
        <f t="shared" si="27"/>
        <v>0</v>
      </c>
      <c r="K155" s="224">
        <f t="shared" si="27"/>
        <v>0</v>
      </c>
      <c r="L155" s="225">
        <f t="shared" si="27"/>
        <v>0</v>
      </c>
      <c r="M155" s="226">
        <f t="shared" si="27"/>
        <v>0</v>
      </c>
    </row>
    <row r="156" spans="1:13" ht="12.75" customHeight="1" hidden="1" outlineLevel="1">
      <c r="A156" s="196" t="s">
        <v>89</v>
      </c>
      <c r="B156" s="208" t="s">
        <v>506</v>
      </c>
      <c r="C156" s="216"/>
      <c r="D156" s="218"/>
      <c r="E156" s="218"/>
      <c r="F156" s="220">
        <f>+G156+J156</f>
        <v>0</v>
      </c>
      <c r="G156" s="217"/>
      <c r="H156" s="218"/>
      <c r="I156" s="218"/>
      <c r="J156" s="218"/>
      <c r="K156" s="218"/>
      <c r="L156" s="219"/>
      <c r="M156" s="220">
        <f>+C156+F156</f>
        <v>0</v>
      </c>
    </row>
    <row r="157" spans="1:13" ht="146.25" customHeight="1" hidden="1" outlineLevel="1">
      <c r="A157" s="196" t="s">
        <v>340</v>
      </c>
      <c r="B157" s="208" t="s">
        <v>376</v>
      </c>
      <c r="C157" s="216"/>
      <c r="D157" s="218"/>
      <c r="E157" s="218"/>
      <c r="F157" s="220">
        <f>+G157+J157</f>
        <v>0</v>
      </c>
      <c r="G157" s="217"/>
      <c r="H157" s="218"/>
      <c r="I157" s="218"/>
      <c r="J157" s="218"/>
      <c r="K157" s="218"/>
      <c r="L157" s="219"/>
      <c r="M157" s="220">
        <f>+C157+F157</f>
        <v>0</v>
      </c>
    </row>
    <row r="158" spans="1:13" ht="38.25" collapsed="1">
      <c r="A158" s="200" t="s">
        <v>507</v>
      </c>
      <c r="B158" s="209" t="s">
        <v>223</v>
      </c>
      <c r="C158" s="222">
        <f aca="true" t="shared" si="28" ref="C158:M158">SUM(C159:C166)</f>
        <v>0</v>
      </c>
      <c r="D158" s="224">
        <f t="shared" si="28"/>
        <v>0</v>
      </c>
      <c r="E158" s="224">
        <f t="shared" si="28"/>
        <v>0</v>
      </c>
      <c r="F158" s="226">
        <f t="shared" si="28"/>
        <v>60</v>
      </c>
      <c r="G158" s="223">
        <f t="shared" si="28"/>
        <v>60</v>
      </c>
      <c r="H158" s="224">
        <f t="shared" si="28"/>
        <v>0</v>
      </c>
      <c r="I158" s="224">
        <f t="shared" si="28"/>
        <v>0</v>
      </c>
      <c r="J158" s="224">
        <f t="shared" si="28"/>
        <v>0</v>
      </c>
      <c r="K158" s="224">
        <f t="shared" si="28"/>
        <v>0</v>
      </c>
      <c r="L158" s="225">
        <f t="shared" si="28"/>
        <v>0</v>
      </c>
      <c r="M158" s="226">
        <f t="shared" si="28"/>
        <v>60</v>
      </c>
    </row>
    <row r="159" spans="1:13" ht="12.75" hidden="1" outlineLevel="1">
      <c r="A159" s="196" t="s">
        <v>89</v>
      </c>
      <c r="B159" s="208" t="s">
        <v>339</v>
      </c>
      <c r="C159" s="216"/>
      <c r="D159" s="224"/>
      <c r="E159" s="224"/>
      <c r="F159" s="220">
        <f aca="true" t="shared" si="29" ref="F159:F166">+G159+J159</f>
        <v>0</v>
      </c>
      <c r="G159" s="243"/>
      <c r="H159" s="224"/>
      <c r="I159" s="224"/>
      <c r="J159" s="251"/>
      <c r="K159" s="251">
        <f>+J159</f>
        <v>0</v>
      </c>
      <c r="L159" s="244"/>
      <c r="M159" s="220">
        <f aca="true" t="shared" si="30" ref="M159:M166">+C159+F159</f>
        <v>0</v>
      </c>
    </row>
    <row r="160" spans="1:13" ht="51" hidden="1" outlineLevel="1" collapsed="1">
      <c r="A160" s="284" t="s">
        <v>7</v>
      </c>
      <c r="B160" s="208" t="s">
        <v>6</v>
      </c>
      <c r="C160" s="216"/>
      <c r="D160" s="218"/>
      <c r="E160" s="218"/>
      <c r="F160" s="220">
        <f t="shared" si="29"/>
        <v>0</v>
      </c>
      <c r="G160" s="217"/>
      <c r="H160" s="218"/>
      <c r="I160" s="218"/>
      <c r="J160" s="218"/>
      <c r="K160" s="218"/>
      <c r="L160" s="219"/>
      <c r="M160" s="220">
        <f t="shared" si="30"/>
        <v>0</v>
      </c>
    </row>
    <row r="161" spans="1:13" ht="51" hidden="1" outlineLevel="1">
      <c r="A161" s="196">
        <v>170703</v>
      </c>
      <c r="B161" s="208" t="s">
        <v>111</v>
      </c>
      <c r="C161" s="216"/>
      <c r="D161" s="218"/>
      <c r="E161" s="218"/>
      <c r="F161" s="220">
        <f t="shared" si="29"/>
        <v>0</v>
      </c>
      <c r="G161" s="217"/>
      <c r="H161" s="218"/>
      <c r="I161" s="218"/>
      <c r="J161" s="218"/>
      <c r="K161" s="218"/>
      <c r="L161" s="219"/>
      <c r="M161" s="220">
        <f t="shared" si="30"/>
        <v>0</v>
      </c>
    </row>
    <row r="162" spans="1:13" ht="38.25" customHeight="1" hidden="1" outlineLevel="1">
      <c r="A162" s="198">
        <v>250908</v>
      </c>
      <c r="B162" s="211" t="s">
        <v>179</v>
      </c>
      <c r="C162" s="216"/>
      <c r="D162" s="218"/>
      <c r="E162" s="218"/>
      <c r="F162" s="220">
        <f t="shared" si="29"/>
        <v>0</v>
      </c>
      <c r="G162" s="217"/>
      <c r="H162" s="218"/>
      <c r="I162" s="218"/>
      <c r="J162" s="218"/>
      <c r="K162" s="218"/>
      <c r="L162" s="219"/>
      <c r="M162" s="220">
        <f t="shared" si="30"/>
        <v>0</v>
      </c>
    </row>
    <row r="163" spans="1:13" ht="24.75" customHeight="1" hidden="1" outlineLevel="1">
      <c r="A163" s="198" t="s">
        <v>182</v>
      </c>
      <c r="B163" s="210" t="s">
        <v>406</v>
      </c>
      <c r="C163" s="216"/>
      <c r="D163" s="218"/>
      <c r="E163" s="218"/>
      <c r="F163" s="220">
        <f t="shared" si="29"/>
        <v>0</v>
      </c>
      <c r="G163" s="217"/>
      <c r="H163" s="218"/>
      <c r="I163" s="218"/>
      <c r="J163" s="218"/>
      <c r="K163" s="218"/>
      <c r="L163" s="219"/>
      <c r="M163" s="220">
        <f t="shared" si="30"/>
        <v>0</v>
      </c>
    </row>
    <row r="164" spans="1:13" ht="63.75" collapsed="1">
      <c r="A164" s="198" t="s">
        <v>187</v>
      </c>
      <c r="B164" s="211" t="s">
        <v>188</v>
      </c>
      <c r="C164" s="216"/>
      <c r="D164" s="218"/>
      <c r="E164" s="218"/>
      <c r="F164" s="220">
        <f t="shared" si="29"/>
        <v>60</v>
      </c>
      <c r="G164" s="217">
        <v>60</v>
      </c>
      <c r="H164" s="218"/>
      <c r="I164" s="218"/>
      <c r="J164" s="218"/>
      <c r="K164" s="218"/>
      <c r="L164" s="219"/>
      <c r="M164" s="220">
        <f t="shared" si="30"/>
        <v>60</v>
      </c>
    </row>
    <row r="165" spans="1:13" ht="51" hidden="1" outlineLevel="1">
      <c r="A165" s="198" t="s">
        <v>407</v>
      </c>
      <c r="B165" s="211" t="s">
        <v>408</v>
      </c>
      <c r="C165" s="216"/>
      <c r="D165" s="218"/>
      <c r="E165" s="218"/>
      <c r="F165" s="220">
        <f t="shared" si="29"/>
        <v>0</v>
      </c>
      <c r="G165" s="217"/>
      <c r="H165" s="218"/>
      <c r="I165" s="218"/>
      <c r="J165" s="218"/>
      <c r="K165" s="218"/>
      <c r="L165" s="219"/>
      <c r="M165" s="220">
        <f t="shared" si="30"/>
        <v>0</v>
      </c>
    </row>
    <row r="166" spans="1:13" ht="12.75" hidden="1" outlineLevel="1" collapsed="1">
      <c r="A166" s="196" t="s">
        <v>57</v>
      </c>
      <c r="B166" s="208" t="s">
        <v>58</v>
      </c>
      <c r="C166" s="216"/>
      <c r="D166" s="218"/>
      <c r="E166" s="218"/>
      <c r="F166" s="220">
        <f t="shared" si="29"/>
        <v>0</v>
      </c>
      <c r="G166" s="217"/>
      <c r="H166" s="218"/>
      <c r="I166" s="218"/>
      <c r="J166" s="218"/>
      <c r="K166" s="218"/>
      <c r="L166" s="219"/>
      <c r="M166" s="220">
        <f t="shared" si="30"/>
        <v>0</v>
      </c>
    </row>
    <row r="167" spans="1:13" ht="25.5" customHeight="1" hidden="1" outlineLevel="1">
      <c r="A167" s="200" t="s">
        <v>508</v>
      </c>
      <c r="B167" s="209" t="s">
        <v>189</v>
      </c>
      <c r="C167" s="222">
        <f aca="true" t="shared" si="31" ref="C167:M167">+C168</f>
        <v>0</v>
      </c>
      <c r="D167" s="224">
        <f t="shared" si="31"/>
        <v>0</v>
      </c>
      <c r="E167" s="224">
        <f t="shared" si="31"/>
        <v>0</v>
      </c>
      <c r="F167" s="226">
        <f t="shared" si="31"/>
        <v>0</v>
      </c>
      <c r="G167" s="223">
        <f t="shared" si="31"/>
        <v>0</v>
      </c>
      <c r="H167" s="224">
        <f t="shared" si="31"/>
        <v>0</v>
      </c>
      <c r="I167" s="224">
        <f t="shared" si="31"/>
        <v>0</v>
      </c>
      <c r="J167" s="224">
        <f t="shared" si="31"/>
        <v>0</v>
      </c>
      <c r="K167" s="224">
        <f t="shared" si="31"/>
        <v>0</v>
      </c>
      <c r="L167" s="225">
        <f t="shared" si="31"/>
        <v>0</v>
      </c>
      <c r="M167" s="226">
        <f t="shared" si="31"/>
        <v>0</v>
      </c>
    </row>
    <row r="168" spans="1:13" ht="12.75" customHeight="1" hidden="1" outlineLevel="1">
      <c r="A168" s="196" t="s">
        <v>57</v>
      </c>
      <c r="B168" s="208" t="s">
        <v>58</v>
      </c>
      <c r="C168" s="216"/>
      <c r="D168" s="218"/>
      <c r="E168" s="218"/>
      <c r="F168" s="220">
        <f>+G168+J168</f>
        <v>0</v>
      </c>
      <c r="G168" s="217"/>
      <c r="H168" s="218"/>
      <c r="I168" s="218"/>
      <c r="J168" s="218"/>
      <c r="K168" s="218"/>
      <c r="L168" s="219"/>
      <c r="M168" s="220">
        <f>+C168+F168</f>
        <v>0</v>
      </c>
    </row>
    <row r="169" spans="1:13" ht="38.25" hidden="1" outlineLevel="1" collapsed="1">
      <c r="A169" s="200" t="s">
        <v>509</v>
      </c>
      <c r="B169" s="209" t="s">
        <v>510</v>
      </c>
      <c r="C169" s="222">
        <f aca="true" t="shared" si="32" ref="C169:M169">SUM(C170:C176)</f>
        <v>0</v>
      </c>
      <c r="D169" s="224">
        <f t="shared" si="32"/>
        <v>0</v>
      </c>
      <c r="E169" s="224">
        <f t="shared" si="32"/>
        <v>0</v>
      </c>
      <c r="F169" s="226">
        <f t="shared" si="32"/>
        <v>0</v>
      </c>
      <c r="G169" s="223">
        <f t="shared" si="32"/>
        <v>0</v>
      </c>
      <c r="H169" s="224">
        <f t="shared" si="32"/>
        <v>0</v>
      </c>
      <c r="I169" s="224">
        <f t="shared" si="32"/>
        <v>0</v>
      </c>
      <c r="J169" s="224">
        <f t="shared" si="32"/>
        <v>0</v>
      </c>
      <c r="K169" s="224">
        <f t="shared" si="32"/>
        <v>0</v>
      </c>
      <c r="L169" s="225">
        <f t="shared" si="32"/>
        <v>0</v>
      </c>
      <c r="M169" s="226">
        <f t="shared" si="32"/>
        <v>0</v>
      </c>
    </row>
    <row r="170" spans="1:13" ht="25.5" customHeight="1" hidden="1" outlineLevel="1">
      <c r="A170" s="196" t="s">
        <v>609</v>
      </c>
      <c r="B170" s="208" t="s">
        <v>469</v>
      </c>
      <c r="C170" s="216"/>
      <c r="D170" s="218"/>
      <c r="E170" s="218"/>
      <c r="F170" s="220">
        <f aca="true" t="shared" si="33" ref="F170:F175">+G170+J170</f>
        <v>0</v>
      </c>
      <c r="G170" s="217"/>
      <c r="H170" s="218"/>
      <c r="I170" s="218"/>
      <c r="J170" s="218"/>
      <c r="K170" s="218"/>
      <c r="L170" s="219"/>
      <c r="M170" s="220">
        <f aca="true" t="shared" si="34" ref="M170:M176">+C170+F170</f>
        <v>0</v>
      </c>
    </row>
    <row r="171" spans="1:13" ht="25.5" hidden="1" outlineLevel="1" collapsed="1">
      <c r="A171" s="196">
        <v>240601</v>
      </c>
      <c r="B171" s="208" t="s">
        <v>576</v>
      </c>
      <c r="C171" s="216"/>
      <c r="D171" s="218"/>
      <c r="E171" s="218"/>
      <c r="F171" s="220">
        <f t="shared" si="33"/>
        <v>0</v>
      </c>
      <c r="G171" s="217"/>
      <c r="H171" s="218"/>
      <c r="I171" s="218"/>
      <c r="J171" s="218"/>
      <c r="K171" s="218"/>
      <c r="L171" s="219"/>
      <c r="M171" s="220">
        <f t="shared" si="34"/>
        <v>0</v>
      </c>
    </row>
    <row r="172" spans="1:13" ht="12.75" hidden="1" outlineLevel="1">
      <c r="A172" s="196">
        <v>240602</v>
      </c>
      <c r="B172" s="208" t="s">
        <v>578</v>
      </c>
      <c r="C172" s="216"/>
      <c r="D172" s="218"/>
      <c r="E172" s="218"/>
      <c r="F172" s="220">
        <f t="shared" si="33"/>
        <v>0</v>
      </c>
      <c r="G172" s="217"/>
      <c r="H172" s="218"/>
      <c r="I172" s="218"/>
      <c r="J172" s="218"/>
      <c r="K172" s="218"/>
      <c r="L172" s="219"/>
      <c r="M172" s="220">
        <f t="shared" si="34"/>
        <v>0</v>
      </c>
    </row>
    <row r="173" spans="1:13" ht="24.75" customHeight="1" hidden="1" outlineLevel="1">
      <c r="A173" s="196">
        <v>240603</v>
      </c>
      <c r="B173" s="208" t="s">
        <v>601</v>
      </c>
      <c r="C173" s="216"/>
      <c r="D173" s="218"/>
      <c r="E173" s="218"/>
      <c r="F173" s="220">
        <f t="shared" si="33"/>
        <v>0</v>
      </c>
      <c r="G173" s="217"/>
      <c r="H173" s="218"/>
      <c r="I173" s="218"/>
      <c r="J173" s="218"/>
      <c r="K173" s="218"/>
      <c r="L173" s="219"/>
      <c r="M173" s="220">
        <f t="shared" si="34"/>
        <v>0</v>
      </c>
    </row>
    <row r="174" spans="1:13" ht="40.5" customHeight="1" hidden="1" outlineLevel="1" collapsed="1">
      <c r="A174" s="196">
        <v>240604</v>
      </c>
      <c r="B174" s="208" t="s">
        <v>602</v>
      </c>
      <c r="C174" s="216"/>
      <c r="D174" s="218"/>
      <c r="E174" s="218"/>
      <c r="F174" s="220">
        <f t="shared" si="33"/>
        <v>0</v>
      </c>
      <c r="G174" s="217"/>
      <c r="H174" s="218"/>
      <c r="I174" s="218"/>
      <c r="J174" s="218"/>
      <c r="K174" s="218"/>
      <c r="L174" s="219"/>
      <c r="M174" s="220">
        <f t="shared" si="34"/>
        <v>0</v>
      </c>
    </row>
    <row r="175" spans="1:13" ht="25.5" hidden="1" outlineLevel="1" collapsed="1">
      <c r="A175" s="196">
        <v>240605</v>
      </c>
      <c r="B175" s="208" t="s">
        <v>380</v>
      </c>
      <c r="C175" s="216"/>
      <c r="D175" s="218"/>
      <c r="E175" s="218"/>
      <c r="F175" s="220">
        <f t="shared" si="33"/>
        <v>0</v>
      </c>
      <c r="G175" s="217"/>
      <c r="H175" s="218"/>
      <c r="I175" s="218"/>
      <c r="J175" s="218"/>
      <c r="K175" s="218"/>
      <c r="L175" s="219"/>
      <c r="M175" s="220">
        <f t="shared" si="34"/>
        <v>0</v>
      </c>
    </row>
    <row r="176" spans="1:13" ht="12.75" hidden="1" outlineLevel="1" collapsed="1">
      <c r="A176" s="196" t="s">
        <v>57</v>
      </c>
      <c r="B176" s="208" t="s">
        <v>58</v>
      </c>
      <c r="C176" s="216"/>
      <c r="D176" s="218"/>
      <c r="E176" s="218"/>
      <c r="F176" s="220">
        <f>+G176+J176</f>
        <v>0</v>
      </c>
      <c r="G176" s="217"/>
      <c r="H176" s="218"/>
      <c r="I176" s="218"/>
      <c r="J176" s="218"/>
      <c r="K176" s="218"/>
      <c r="L176" s="219"/>
      <c r="M176" s="220">
        <f t="shared" si="34"/>
        <v>0</v>
      </c>
    </row>
    <row r="177" spans="1:13" ht="25.5" collapsed="1">
      <c r="A177" s="200" t="s">
        <v>511</v>
      </c>
      <c r="B177" s="209" t="s">
        <v>226</v>
      </c>
      <c r="C177" s="222">
        <f>SUM(C178:C180)</f>
        <v>63367.423</v>
      </c>
      <c r="D177" s="248">
        <f aca="true" t="shared" si="35" ref="D177:M177">SUM(D178:D180)</f>
        <v>381.557</v>
      </c>
      <c r="E177" s="248">
        <f t="shared" si="35"/>
        <v>22.215</v>
      </c>
      <c r="F177" s="226">
        <f t="shared" si="35"/>
        <v>50751.849</v>
      </c>
      <c r="G177" s="247">
        <f>SUM(G178:G180)</f>
        <v>0</v>
      </c>
      <c r="H177" s="248">
        <f>SUM(H178:H180)</f>
        <v>0</v>
      </c>
      <c r="I177" s="248">
        <f>SUM(I178:I180)</f>
        <v>0</v>
      </c>
      <c r="J177" s="224">
        <f>SUM(J178:J180)</f>
        <v>50751.849</v>
      </c>
      <c r="K177" s="224">
        <f t="shared" si="35"/>
        <v>9700</v>
      </c>
      <c r="L177" s="225">
        <f>SUM(L178:L180)</f>
        <v>0</v>
      </c>
      <c r="M177" s="226">
        <f t="shared" si="35"/>
        <v>114119.272</v>
      </c>
    </row>
    <row r="178" spans="1:13" ht="12.75" customHeight="1">
      <c r="A178" s="196" t="s">
        <v>605</v>
      </c>
      <c r="B178" s="208" t="s">
        <v>606</v>
      </c>
      <c r="C178" s="216">
        <v>476.165</v>
      </c>
      <c r="D178" s="250">
        <v>381.557</v>
      </c>
      <c r="E178" s="250">
        <v>22.215</v>
      </c>
      <c r="F178" s="220">
        <f>+G178+J178</f>
        <v>0</v>
      </c>
      <c r="G178" s="249"/>
      <c r="H178" s="250"/>
      <c r="I178" s="250"/>
      <c r="J178" s="218"/>
      <c r="K178" s="218"/>
      <c r="L178" s="219"/>
      <c r="M178" s="220">
        <f>+C178+F178</f>
        <v>476.165</v>
      </c>
    </row>
    <row r="179" spans="1:13" ht="25.5">
      <c r="A179" s="278" t="s">
        <v>309</v>
      </c>
      <c r="B179" s="288" t="s">
        <v>310</v>
      </c>
      <c r="C179" s="298">
        <f>62449.107-7</f>
        <v>62442.107</v>
      </c>
      <c r="D179" s="250"/>
      <c r="E179" s="250"/>
      <c r="F179" s="220">
        <f>+G179+J179</f>
        <v>50751.849</v>
      </c>
      <c r="G179" s="412"/>
      <c r="H179" s="250"/>
      <c r="I179" s="250"/>
      <c r="J179" s="218">
        <f>41051.849+3100+6600</f>
        <v>50751.849</v>
      </c>
      <c r="K179" s="218">
        <f>6600+3100</f>
        <v>9700</v>
      </c>
      <c r="L179" s="219"/>
      <c r="M179" s="220">
        <f>+C179+F179</f>
        <v>113193.956</v>
      </c>
    </row>
    <row r="180" spans="1:13" ht="12.75">
      <c r="A180" s="196" t="s">
        <v>57</v>
      </c>
      <c r="B180" s="208" t="s">
        <v>58</v>
      </c>
      <c r="C180" s="216">
        <v>449.151</v>
      </c>
      <c r="D180" s="218"/>
      <c r="E180" s="218"/>
      <c r="F180" s="220">
        <f>+G180+J180</f>
        <v>0</v>
      </c>
      <c r="G180" s="249"/>
      <c r="H180" s="218"/>
      <c r="I180" s="218"/>
      <c r="J180" s="218"/>
      <c r="K180" s="218"/>
      <c r="L180" s="219"/>
      <c r="M180" s="220">
        <f>+C180+F180</f>
        <v>449.151</v>
      </c>
    </row>
    <row r="181" spans="1:13" ht="38.25">
      <c r="A181" s="200" t="s">
        <v>512</v>
      </c>
      <c r="B181" s="209" t="s">
        <v>217</v>
      </c>
      <c r="C181" s="222">
        <f aca="true" t="shared" si="36" ref="C181:M181">+C182</f>
        <v>350</v>
      </c>
      <c r="D181" s="224">
        <f t="shared" si="36"/>
        <v>0</v>
      </c>
      <c r="E181" s="224">
        <f t="shared" si="36"/>
        <v>0</v>
      </c>
      <c r="F181" s="226">
        <f t="shared" si="36"/>
        <v>0</v>
      </c>
      <c r="G181" s="223">
        <f t="shared" si="36"/>
        <v>0</v>
      </c>
      <c r="H181" s="224">
        <f t="shared" si="36"/>
        <v>0</v>
      </c>
      <c r="I181" s="224">
        <f t="shared" si="36"/>
        <v>0</v>
      </c>
      <c r="J181" s="224">
        <f t="shared" si="36"/>
        <v>0</v>
      </c>
      <c r="K181" s="224">
        <f t="shared" si="36"/>
        <v>0</v>
      </c>
      <c r="L181" s="225">
        <f t="shared" si="36"/>
        <v>0</v>
      </c>
      <c r="M181" s="226">
        <f t="shared" si="36"/>
        <v>350</v>
      </c>
    </row>
    <row r="182" spans="1:13" ht="12.75">
      <c r="A182" s="196" t="s">
        <v>57</v>
      </c>
      <c r="B182" s="208" t="s">
        <v>58</v>
      </c>
      <c r="C182" s="216">
        <v>350</v>
      </c>
      <c r="D182" s="218"/>
      <c r="E182" s="218"/>
      <c r="F182" s="220">
        <f>+G182+J182</f>
        <v>0</v>
      </c>
      <c r="G182" s="217"/>
      <c r="H182" s="218"/>
      <c r="I182" s="218"/>
      <c r="J182" s="218"/>
      <c r="K182" s="218"/>
      <c r="L182" s="219"/>
      <c r="M182" s="220">
        <f>+C182+F182</f>
        <v>350</v>
      </c>
    </row>
    <row r="183" spans="1:13" ht="51" collapsed="1">
      <c r="A183" s="200" t="s">
        <v>513</v>
      </c>
      <c r="B183" s="209" t="s">
        <v>224</v>
      </c>
      <c r="C183" s="222">
        <f aca="true" t="shared" si="37" ref="C183:M183">+C185+C186+C184</f>
        <v>0</v>
      </c>
      <c r="D183" s="224">
        <f t="shared" si="37"/>
        <v>0</v>
      </c>
      <c r="E183" s="224">
        <f t="shared" si="37"/>
        <v>0</v>
      </c>
      <c r="F183" s="226">
        <f t="shared" si="37"/>
        <v>200</v>
      </c>
      <c r="G183" s="223">
        <f t="shared" si="37"/>
        <v>200</v>
      </c>
      <c r="H183" s="224">
        <f t="shared" si="37"/>
        <v>0</v>
      </c>
      <c r="I183" s="224">
        <f t="shared" si="37"/>
        <v>0</v>
      </c>
      <c r="J183" s="224">
        <f t="shared" si="37"/>
        <v>0</v>
      </c>
      <c r="K183" s="224">
        <f t="shared" si="37"/>
        <v>0</v>
      </c>
      <c r="L183" s="225">
        <f t="shared" si="37"/>
        <v>0</v>
      </c>
      <c r="M183" s="226">
        <f t="shared" si="37"/>
        <v>200</v>
      </c>
    </row>
    <row r="184" spans="1:13" ht="27" customHeight="1">
      <c r="A184" s="199" t="s">
        <v>384</v>
      </c>
      <c r="B184" s="210" t="s">
        <v>385</v>
      </c>
      <c r="C184" s="216"/>
      <c r="D184" s="251"/>
      <c r="E184" s="251"/>
      <c r="F184" s="220">
        <f>+G184+J184</f>
        <v>200</v>
      </c>
      <c r="G184" s="243">
        <v>200</v>
      </c>
      <c r="H184" s="251"/>
      <c r="I184" s="251"/>
      <c r="J184" s="251"/>
      <c r="K184" s="251"/>
      <c r="L184" s="244"/>
      <c r="M184" s="220">
        <f>+C184+F184</f>
        <v>200</v>
      </c>
    </row>
    <row r="185" spans="1:13" ht="12.75" hidden="1" outlineLevel="1">
      <c r="A185" s="196" t="s">
        <v>57</v>
      </c>
      <c r="B185" s="208" t="s">
        <v>58</v>
      </c>
      <c r="C185" s="216"/>
      <c r="D185" s="218"/>
      <c r="E185" s="218"/>
      <c r="F185" s="220">
        <f>+G185+J185</f>
        <v>0</v>
      </c>
      <c r="G185" s="217"/>
      <c r="H185" s="218"/>
      <c r="I185" s="218"/>
      <c r="J185" s="218"/>
      <c r="K185" s="218"/>
      <c r="L185" s="219"/>
      <c r="M185" s="220">
        <f>+C185+F185</f>
        <v>0</v>
      </c>
    </row>
    <row r="186" spans="1:13" ht="12.75" hidden="1" outlineLevel="1">
      <c r="A186" s="196" t="s">
        <v>219</v>
      </c>
      <c r="B186" s="210" t="s">
        <v>220</v>
      </c>
      <c r="C186" s="252"/>
      <c r="D186" s="224"/>
      <c r="E186" s="224"/>
      <c r="F186" s="245">
        <f>+G186+J186</f>
        <v>0</v>
      </c>
      <c r="G186" s="243"/>
      <c r="H186" s="224"/>
      <c r="I186" s="224"/>
      <c r="J186" s="224"/>
      <c r="K186" s="224"/>
      <c r="L186" s="225"/>
      <c r="M186" s="226">
        <f>+C186+F186</f>
        <v>0</v>
      </c>
    </row>
    <row r="187" spans="1:13" ht="33.75" customHeight="1" hidden="1" outlineLevel="1" collapsed="1">
      <c r="A187" s="200" t="s">
        <v>231</v>
      </c>
      <c r="B187" s="214" t="s">
        <v>185</v>
      </c>
      <c r="C187" s="368">
        <f aca="true" t="shared" si="38" ref="C187:M187">+C188</f>
        <v>0</v>
      </c>
      <c r="D187" s="224">
        <f t="shared" si="38"/>
        <v>0</v>
      </c>
      <c r="E187" s="224">
        <f t="shared" si="38"/>
        <v>0</v>
      </c>
      <c r="F187" s="253">
        <f t="shared" si="38"/>
        <v>0</v>
      </c>
      <c r="G187" s="243">
        <f t="shared" si="38"/>
        <v>0</v>
      </c>
      <c r="H187" s="224">
        <f t="shared" si="38"/>
        <v>0</v>
      </c>
      <c r="I187" s="224">
        <f t="shared" si="38"/>
        <v>0</v>
      </c>
      <c r="J187" s="224">
        <f t="shared" si="38"/>
        <v>0</v>
      </c>
      <c r="K187" s="224">
        <f t="shared" si="38"/>
        <v>0</v>
      </c>
      <c r="L187" s="225">
        <f t="shared" si="38"/>
        <v>0</v>
      </c>
      <c r="M187" s="226">
        <f t="shared" si="38"/>
        <v>0</v>
      </c>
    </row>
    <row r="188" spans="1:13" ht="38.25" hidden="1" outlineLevel="1">
      <c r="A188" s="199">
        <v>210105</v>
      </c>
      <c r="B188" s="210" t="s">
        <v>382</v>
      </c>
      <c r="C188" s="216"/>
      <c r="D188" s="224"/>
      <c r="E188" s="224"/>
      <c r="F188" s="220">
        <f>+G188+J188</f>
        <v>0</v>
      </c>
      <c r="G188" s="243"/>
      <c r="H188" s="224"/>
      <c r="I188" s="224"/>
      <c r="J188" s="224"/>
      <c r="K188" s="224"/>
      <c r="L188" s="225"/>
      <c r="M188" s="220">
        <f>+C188+F188</f>
        <v>0</v>
      </c>
    </row>
    <row r="189" spans="1:13" s="115" customFormat="1" ht="38.25" collapsed="1">
      <c r="A189" s="197" t="s">
        <v>514</v>
      </c>
      <c r="B189" s="209" t="s">
        <v>225</v>
      </c>
      <c r="C189" s="222">
        <f aca="true" t="shared" si="39" ref="C189:M189">SUM(C190:C194)+SUM(C196:C218)-C191</f>
        <v>1625522.424</v>
      </c>
      <c r="D189" s="224">
        <f t="shared" si="39"/>
        <v>0</v>
      </c>
      <c r="E189" s="224">
        <f t="shared" si="39"/>
        <v>0</v>
      </c>
      <c r="F189" s="253">
        <f t="shared" si="39"/>
        <v>0</v>
      </c>
      <c r="G189" s="223">
        <f t="shared" si="39"/>
        <v>0</v>
      </c>
      <c r="H189" s="224">
        <f t="shared" si="39"/>
        <v>0</v>
      </c>
      <c r="I189" s="224">
        <f t="shared" si="39"/>
        <v>0</v>
      </c>
      <c r="J189" s="224">
        <f t="shared" si="39"/>
        <v>0</v>
      </c>
      <c r="K189" s="224" t="e">
        <f t="shared" si="39"/>
        <v>#REF!</v>
      </c>
      <c r="L189" s="225">
        <f t="shared" si="39"/>
        <v>0</v>
      </c>
      <c r="M189" s="222">
        <f t="shared" si="39"/>
        <v>1625522.424</v>
      </c>
    </row>
    <row r="190" spans="1:13" s="115" customFormat="1" ht="12.75" customHeight="1" hidden="1" outlineLevel="1">
      <c r="A190" s="196">
        <v>250102</v>
      </c>
      <c r="B190" s="211" t="s">
        <v>229</v>
      </c>
      <c r="C190" s="216"/>
      <c r="D190" s="218"/>
      <c r="E190" s="218"/>
      <c r="F190" s="220">
        <f>+G190+J190</f>
        <v>0</v>
      </c>
      <c r="G190" s="217"/>
      <c r="H190" s="218"/>
      <c r="I190" s="218"/>
      <c r="J190" s="218"/>
      <c r="K190" s="218"/>
      <c r="L190" s="219"/>
      <c r="M190" s="220">
        <f>+C190+F190</f>
        <v>0</v>
      </c>
    </row>
    <row r="191" spans="1:13" s="116" customFormat="1" ht="25.5" customHeight="1" hidden="1" outlineLevel="1">
      <c r="A191" s="201"/>
      <c r="B191" s="215" t="s">
        <v>403</v>
      </c>
      <c r="C191" s="254"/>
      <c r="D191" s="255"/>
      <c r="E191" s="255"/>
      <c r="F191" s="257"/>
      <c r="G191" s="217"/>
      <c r="H191" s="255"/>
      <c r="I191" s="255"/>
      <c r="J191" s="255"/>
      <c r="K191" s="255"/>
      <c r="L191" s="256"/>
      <c r="M191" s="257">
        <f>+C191+F191</f>
        <v>0</v>
      </c>
    </row>
    <row r="192" spans="1:13" s="115" customFormat="1" ht="38.25" customHeight="1" hidden="1" outlineLevel="1" collapsed="1">
      <c r="A192" s="198" t="s">
        <v>180</v>
      </c>
      <c r="B192" s="210" t="s">
        <v>181</v>
      </c>
      <c r="C192" s="216"/>
      <c r="D192" s="218"/>
      <c r="E192" s="218"/>
      <c r="F192" s="220">
        <f>+G192+J192</f>
        <v>0</v>
      </c>
      <c r="G192" s="217"/>
      <c r="H192" s="218"/>
      <c r="I192" s="218"/>
      <c r="J192" s="218"/>
      <c r="K192" s="218"/>
      <c r="L192" s="219"/>
      <c r="M192" s="220">
        <f>+C192+F192</f>
        <v>0</v>
      </c>
    </row>
    <row r="193" spans="1:13" s="115" customFormat="1" ht="38.25" customHeight="1" hidden="1" outlineLevel="1">
      <c r="A193" s="198" t="s">
        <v>184</v>
      </c>
      <c r="B193" s="210" t="s">
        <v>186</v>
      </c>
      <c r="C193" s="216"/>
      <c r="D193" s="218"/>
      <c r="E193" s="218"/>
      <c r="F193" s="220">
        <f>+G193+J193</f>
        <v>0</v>
      </c>
      <c r="G193" s="217"/>
      <c r="H193" s="218"/>
      <c r="I193" s="218"/>
      <c r="J193" s="218"/>
      <c r="K193" s="218"/>
      <c r="L193" s="219"/>
      <c r="M193" s="220">
        <f>+C193+F193</f>
        <v>0</v>
      </c>
    </row>
    <row r="194" spans="1:13" ht="43.5" customHeight="1" hidden="1" outlineLevel="1" collapsed="1">
      <c r="A194" s="198" t="s">
        <v>230</v>
      </c>
      <c r="B194" s="211" t="s">
        <v>405</v>
      </c>
      <c r="C194" s="216"/>
      <c r="D194" s="218"/>
      <c r="E194" s="218"/>
      <c r="F194" s="220">
        <f>+G194+J194</f>
        <v>0</v>
      </c>
      <c r="G194" s="217"/>
      <c r="H194" s="218"/>
      <c r="I194" s="218"/>
      <c r="J194" s="218"/>
      <c r="K194" s="218"/>
      <c r="L194" s="219"/>
      <c r="M194" s="220">
        <f>+C194+F194</f>
        <v>0</v>
      </c>
    </row>
    <row r="195" spans="1:13" ht="12.75" customHeight="1" hidden="1" outlineLevel="1">
      <c r="A195" s="197"/>
      <c r="B195" s="209" t="s">
        <v>515</v>
      </c>
      <c r="C195" s="391">
        <f aca="true" t="shared" si="40" ref="C195:K195">+C13+C19+C30+C49+C70+C73+C97+C100+C115+C138+C152+C155+C158+C177+C181+C189+C121+C134+C183+C167+C169+C187</f>
        <v>3011123.3439999996</v>
      </c>
      <c r="D195" s="391">
        <f t="shared" si="40"/>
        <v>743964.216</v>
      </c>
      <c r="E195" s="391">
        <f t="shared" si="40"/>
        <v>137386.871</v>
      </c>
      <c r="F195" s="259">
        <f t="shared" si="40"/>
        <v>188544.185</v>
      </c>
      <c r="G195" s="391">
        <f t="shared" si="40"/>
        <v>70793.06599999999</v>
      </c>
      <c r="H195" s="391">
        <f t="shared" si="40"/>
        <v>16807.848</v>
      </c>
      <c r="I195" s="391">
        <f t="shared" si="40"/>
        <v>5233.9039999999995</v>
      </c>
      <c r="J195" s="391">
        <f t="shared" si="40"/>
        <v>117751.119</v>
      </c>
      <c r="K195" s="391" t="e">
        <f t="shared" si="40"/>
        <v>#REF!</v>
      </c>
      <c r="L195" s="361"/>
      <c r="M195" s="259">
        <f>+M13+M19+M30+M49+M70+M73+M97+M100+M115+M138+M152+M155+M158+M177+M181+M189+M121+M134+M183+M167+M169+M187</f>
        <v>3199667.529</v>
      </c>
    </row>
    <row r="196" spans="1:13" ht="54.75" customHeight="1" collapsed="1">
      <c r="A196" s="196" t="s">
        <v>616</v>
      </c>
      <c r="B196" s="341" t="s">
        <v>563</v>
      </c>
      <c r="C196" s="216">
        <v>31791</v>
      </c>
      <c r="D196" s="260"/>
      <c r="E196" s="260"/>
      <c r="F196" s="220">
        <f aca="true" t="shared" si="41" ref="F196:F211">+G196+J196</f>
        <v>0</v>
      </c>
      <c r="G196" s="317"/>
      <c r="H196" s="260"/>
      <c r="I196" s="260"/>
      <c r="J196" s="260"/>
      <c r="K196" s="260"/>
      <c r="L196" s="221"/>
      <c r="M196" s="220">
        <f aca="true" t="shared" si="42" ref="M196:M220">+C196+F196</f>
        <v>31791</v>
      </c>
    </row>
    <row r="197" spans="1:13" ht="12.75" hidden="1" outlineLevel="1">
      <c r="A197" s="196" t="s">
        <v>367</v>
      </c>
      <c r="B197" s="147" t="s">
        <v>368</v>
      </c>
      <c r="C197" s="216"/>
      <c r="D197" s="218"/>
      <c r="E197" s="218"/>
      <c r="F197" s="220">
        <f>+G197+J197</f>
        <v>0</v>
      </c>
      <c r="G197" s="217"/>
      <c r="H197" s="218"/>
      <c r="I197" s="218"/>
      <c r="J197" s="218"/>
      <c r="K197" s="218"/>
      <c r="L197" s="219"/>
      <c r="M197" s="220">
        <f t="shared" si="42"/>
        <v>0</v>
      </c>
    </row>
    <row r="198" spans="1:13" ht="80.25" customHeight="1" collapsed="1">
      <c r="A198" s="196">
        <v>250326</v>
      </c>
      <c r="B198" s="345" t="s">
        <v>481</v>
      </c>
      <c r="C198" s="216">
        <v>1111468.7</v>
      </c>
      <c r="D198" s="218"/>
      <c r="E198" s="218"/>
      <c r="F198" s="220">
        <f t="shared" si="41"/>
        <v>0</v>
      </c>
      <c r="G198" s="217"/>
      <c r="H198" s="218"/>
      <c r="I198" s="218"/>
      <c r="J198" s="218"/>
      <c r="K198" s="218"/>
      <c r="L198" s="219"/>
      <c r="M198" s="220">
        <f t="shared" si="42"/>
        <v>1111468.7</v>
      </c>
    </row>
    <row r="199" spans="1:13" ht="171.75" customHeight="1" hidden="1" outlineLevel="1">
      <c r="A199" s="196" t="s">
        <v>409</v>
      </c>
      <c r="B199" s="342" t="s">
        <v>347</v>
      </c>
      <c r="C199" s="216"/>
      <c r="D199" s="218"/>
      <c r="E199" s="218"/>
      <c r="F199" s="220">
        <f t="shared" si="41"/>
        <v>0</v>
      </c>
      <c r="G199" s="217"/>
      <c r="H199" s="218"/>
      <c r="I199" s="218"/>
      <c r="J199" s="227"/>
      <c r="K199" s="227"/>
      <c r="L199" s="263"/>
      <c r="M199" s="220">
        <f t="shared" si="42"/>
        <v>0</v>
      </c>
    </row>
    <row r="200" spans="1:13" ht="116.25" customHeight="1" collapsed="1">
      <c r="A200" s="196" t="s">
        <v>410</v>
      </c>
      <c r="B200" s="379" t="s">
        <v>561</v>
      </c>
      <c r="C200" s="216">
        <v>371059</v>
      </c>
      <c r="D200" s="218"/>
      <c r="E200" s="218"/>
      <c r="F200" s="220">
        <f t="shared" si="41"/>
        <v>0</v>
      </c>
      <c r="G200" s="217"/>
      <c r="H200" s="218"/>
      <c r="I200" s="218"/>
      <c r="J200" s="218"/>
      <c r="K200" s="218"/>
      <c r="L200" s="219"/>
      <c r="M200" s="220">
        <f t="shared" si="42"/>
        <v>371059</v>
      </c>
    </row>
    <row r="201" spans="1:13" ht="201" customHeight="1" collapsed="1">
      <c r="A201" s="196" t="s">
        <v>411</v>
      </c>
      <c r="B201" s="379" t="s">
        <v>562</v>
      </c>
      <c r="C201" s="216">
        <v>72662.3</v>
      </c>
      <c r="D201" s="218"/>
      <c r="E201" s="218"/>
      <c r="F201" s="220">
        <f t="shared" si="41"/>
        <v>0</v>
      </c>
      <c r="G201" s="217"/>
      <c r="H201" s="218"/>
      <c r="I201" s="218"/>
      <c r="J201" s="218"/>
      <c r="K201" s="218"/>
      <c r="L201" s="219"/>
      <c r="M201" s="220">
        <f t="shared" si="42"/>
        <v>72662.3</v>
      </c>
    </row>
    <row r="202" spans="1:13" ht="67.5" customHeight="1">
      <c r="A202" s="196" t="s">
        <v>412</v>
      </c>
      <c r="B202" s="345" t="s">
        <v>520</v>
      </c>
      <c r="C202" s="216">
        <v>17257.7</v>
      </c>
      <c r="D202" s="218"/>
      <c r="E202" s="218"/>
      <c r="F202" s="220">
        <f t="shared" si="41"/>
        <v>0</v>
      </c>
      <c r="G202" s="217"/>
      <c r="H202" s="218"/>
      <c r="I202" s="218"/>
      <c r="J202" s="218"/>
      <c r="K202" s="218"/>
      <c r="L202" s="219"/>
      <c r="M202" s="220">
        <f t="shared" si="42"/>
        <v>17257.7</v>
      </c>
    </row>
    <row r="203" spans="1:16" s="11" customFormat="1" ht="48" customHeight="1" hidden="1" outlineLevel="1" collapsed="1">
      <c r="A203" s="198" t="s">
        <v>305</v>
      </c>
      <c r="B203" s="342" t="s">
        <v>304</v>
      </c>
      <c r="C203" s="216"/>
      <c r="D203" s="227"/>
      <c r="E203" s="258"/>
      <c r="F203" s="261">
        <f t="shared" si="41"/>
        <v>0</v>
      </c>
      <c r="G203" s="306"/>
      <c r="H203" s="227"/>
      <c r="I203" s="227"/>
      <c r="J203" s="227"/>
      <c r="K203" s="227"/>
      <c r="L203" s="263"/>
      <c r="M203" s="262">
        <f t="shared" si="42"/>
        <v>0</v>
      </c>
      <c r="N203"/>
      <c r="O203"/>
      <c r="P203"/>
    </row>
    <row r="204" spans="1:48" ht="132.75" customHeight="1" collapsed="1">
      <c r="A204" s="198" t="s">
        <v>416</v>
      </c>
      <c r="B204" s="380" t="s">
        <v>114</v>
      </c>
      <c r="C204" s="242">
        <v>8537.8</v>
      </c>
      <c r="D204" s="218"/>
      <c r="E204" s="218"/>
      <c r="F204" s="261">
        <f>+G204+J204</f>
        <v>0</v>
      </c>
      <c r="G204" s="217"/>
      <c r="H204" s="218"/>
      <c r="I204" s="218"/>
      <c r="J204" s="218"/>
      <c r="K204" s="218"/>
      <c r="L204" s="219"/>
      <c r="M204" s="261">
        <f t="shared" si="42"/>
        <v>8537.8</v>
      </c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</row>
    <row r="205" spans="1:13" ht="123" customHeight="1" hidden="1" outlineLevel="1" collapsed="1">
      <c r="A205" s="198" t="s">
        <v>414</v>
      </c>
      <c r="B205" s="344" t="s">
        <v>101</v>
      </c>
      <c r="C205" s="242"/>
      <c r="D205" s="218"/>
      <c r="E205" s="218"/>
      <c r="F205" s="220">
        <f t="shared" si="41"/>
        <v>0</v>
      </c>
      <c r="G205" s="217"/>
      <c r="H205" s="218"/>
      <c r="I205" s="218"/>
      <c r="J205" s="218"/>
      <c r="K205" s="218"/>
      <c r="L205" s="219"/>
      <c r="M205" s="220">
        <f t="shared" si="42"/>
        <v>0</v>
      </c>
    </row>
    <row r="206" spans="1:13" ht="53.25" customHeight="1" hidden="1" outlineLevel="1" collapsed="1">
      <c r="A206" s="198" t="s">
        <v>618</v>
      </c>
      <c r="B206" s="342" t="s">
        <v>328</v>
      </c>
      <c r="C206" s="216"/>
      <c r="D206" s="218"/>
      <c r="E206" s="218"/>
      <c r="F206" s="220">
        <f t="shared" si="41"/>
        <v>0</v>
      </c>
      <c r="G206" s="217"/>
      <c r="H206" s="218"/>
      <c r="I206" s="218"/>
      <c r="J206" s="218"/>
      <c r="K206" s="218"/>
      <c r="L206" s="219"/>
      <c r="M206" s="220">
        <f t="shared" si="42"/>
        <v>0</v>
      </c>
    </row>
    <row r="207" spans="1:13" ht="179.25" customHeight="1" hidden="1" outlineLevel="1" collapsed="1">
      <c r="A207" s="351" t="s">
        <v>355</v>
      </c>
      <c r="B207" s="345" t="s">
        <v>354</v>
      </c>
      <c r="C207" s="216"/>
      <c r="D207" s="218"/>
      <c r="E207" s="218"/>
      <c r="F207" s="220">
        <f t="shared" si="41"/>
        <v>0</v>
      </c>
      <c r="G207" s="217"/>
      <c r="H207" s="218"/>
      <c r="I207" s="218"/>
      <c r="J207" s="218"/>
      <c r="K207" s="218"/>
      <c r="L207" s="219"/>
      <c r="M207" s="220">
        <f t="shared" si="42"/>
        <v>0</v>
      </c>
    </row>
    <row r="208" spans="1:13" ht="66" customHeight="1" hidden="1" outlineLevel="1">
      <c r="A208" s="198" t="s">
        <v>417</v>
      </c>
      <c r="B208" s="342" t="s">
        <v>418</v>
      </c>
      <c r="C208" s="216"/>
      <c r="D208" s="218"/>
      <c r="E208" s="218"/>
      <c r="F208" s="220">
        <f t="shared" si="41"/>
        <v>0</v>
      </c>
      <c r="G208" s="217"/>
      <c r="H208" s="218"/>
      <c r="I208" s="218"/>
      <c r="J208" s="227"/>
      <c r="K208" s="227"/>
      <c r="L208" s="263"/>
      <c r="M208" s="220">
        <f t="shared" si="42"/>
        <v>0</v>
      </c>
    </row>
    <row r="209" spans="1:13" ht="77.25" customHeight="1" hidden="1" outlineLevel="1" collapsed="1">
      <c r="A209" s="198" t="s">
        <v>419</v>
      </c>
      <c r="B209" s="342" t="s">
        <v>420</v>
      </c>
      <c r="C209" s="216"/>
      <c r="D209" s="218"/>
      <c r="E209" s="218"/>
      <c r="F209" s="220">
        <f>+G209+J209</f>
        <v>0</v>
      </c>
      <c r="G209" s="217"/>
      <c r="H209" s="218"/>
      <c r="I209" s="218"/>
      <c r="J209" s="218"/>
      <c r="K209" s="218"/>
      <c r="L209" s="219"/>
      <c r="M209" s="220">
        <f t="shared" si="42"/>
        <v>0</v>
      </c>
    </row>
    <row r="210" spans="1:13" ht="60" customHeight="1" hidden="1" outlineLevel="1">
      <c r="A210" s="198" t="s">
        <v>421</v>
      </c>
      <c r="B210" s="342" t="s">
        <v>422</v>
      </c>
      <c r="C210" s="216"/>
      <c r="D210" s="218"/>
      <c r="E210" s="218"/>
      <c r="F210" s="220">
        <f t="shared" si="41"/>
        <v>0</v>
      </c>
      <c r="G210" s="217"/>
      <c r="H210" s="218"/>
      <c r="I210" s="218"/>
      <c r="J210" s="218"/>
      <c r="K210" s="218"/>
      <c r="L210" s="219"/>
      <c r="M210" s="220">
        <f t="shared" si="42"/>
        <v>0</v>
      </c>
    </row>
    <row r="211" spans="1:13" ht="115.5" customHeight="1" hidden="1" outlineLevel="1" collapsed="1">
      <c r="A211" s="198" t="s">
        <v>612</v>
      </c>
      <c r="B211" s="342" t="s">
        <v>573</v>
      </c>
      <c r="C211" s="216"/>
      <c r="D211" s="218"/>
      <c r="E211" s="218"/>
      <c r="F211" s="220">
        <f t="shared" si="41"/>
        <v>0</v>
      </c>
      <c r="G211" s="217"/>
      <c r="H211" s="218"/>
      <c r="I211" s="218"/>
      <c r="J211" s="218"/>
      <c r="K211" s="218"/>
      <c r="L211" s="219"/>
      <c r="M211" s="220">
        <f t="shared" si="42"/>
        <v>0</v>
      </c>
    </row>
    <row r="212" spans="1:13" ht="78" customHeight="1" hidden="1" outlineLevel="1" collapsed="1">
      <c r="A212" s="198" t="s">
        <v>516</v>
      </c>
      <c r="B212" s="345" t="s">
        <v>517</v>
      </c>
      <c r="C212" s="216"/>
      <c r="D212" s="218"/>
      <c r="E212" s="218"/>
      <c r="F212" s="220">
        <f aca="true" t="shared" si="43" ref="F212:F218">+G212+J212</f>
        <v>0</v>
      </c>
      <c r="G212" s="217"/>
      <c r="H212" s="218"/>
      <c r="I212" s="218"/>
      <c r="J212" s="218"/>
      <c r="K212" s="218"/>
      <c r="L212" s="219"/>
      <c r="M212" s="220">
        <f t="shared" si="42"/>
        <v>0</v>
      </c>
    </row>
    <row r="213" spans="1:21" ht="132" hidden="1" outlineLevel="1">
      <c r="A213" s="198" t="s">
        <v>413</v>
      </c>
      <c r="B213" s="346" t="s">
        <v>108</v>
      </c>
      <c r="C213" s="242"/>
      <c r="D213" s="227"/>
      <c r="E213" s="258"/>
      <c r="F213" s="261">
        <f t="shared" si="43"/>
        <v>0</v>
      </c>
      <c r="G213" s="306"/>
      <c r="H213" s="227"/>
      <c r="I213" s="227"/>
      <c r="J213" s="227"/>
      <c r="K213" s="227"/>
      <c r="L213" s="263"/>
      <c r="M213" s="262">
        <f t="shared" si="42"/>
        <v>0</v>
      </c>
      <c r="N213" s="11"/>
      <c r="O213" s="11"/>
      <c r="P213" s="11"/>
      <c r="Q213" s="11"/>
      <c r="R213" s="11"/>
      <c r="S213" s="11"/>
      <c r="T213" s="11"/>
      <c r="U213" s="11"/>
    </row>
    <row r="214" spans="1:13" ht="51" hidden="1" outlineLevel="1" collapsed="1">
      <c r="A214" s="283"/>
      <c r="B214" s="291" t="s">
        <v>525</v>
      </c>
      <c r="C214" s="216"/>
      <c r="D214" s="218"/>
      <c r="E214" s="218"/>
      <c r="F214" s="220">
        <f t="shared" si="43"/>
        <v>0</v>
      </c>
      <c r="G214" s="217"/>
      <c r="H214" s="218"/>
      <c r="I214" s="218"/>
      <c r="J214" s="218"/>
      <c r="K214" s="218" t="e">
        <f>+КФК!#REF!</f>
        <v>#REF!</v>
      </c>
      <c r="L214" s="219"/>
      <c r="M214" s="220">
        <f t="shared" si="42"/>
        <v>0</v>
      </c>
    </row>
    <row r="215" spans="1:13" ht="63.75" collapsed="1">
      <c r="A215" s="198"/>
      <c r="B215" s="290" t="s">
        <v>538</v>
      </c>
      <c r="C215" s="216">
        <v>2282.8</v>
      </c>
      <c r="D215" s="218"/>
      <c r="E215" s="218"/>
      <c r="F215" s="220">
        <f t="shared" si="43"/>
        <v>0</v>
      </c>
      <c r="G215" s="217"/>
      <c r="H215" s="218"/>
      <c r="I215" s="218"/>
      <c r="J215" s="218"/>
      <c r="K215" s="218"/>
      <c r="L215" s="219"/>
      <c r="M215" s="220">
        <f t="shared" si="42"/>
        <v>2282.8</v>
      </c>
    </row>
    <row r="216" spans="1:13" ht="96" collapsed="1">
      <c r="A216" s="198"/>
      <c r="B216" s="343" t="s">
        <v>526</v>
      </c>
      <c r="C216" s="216">
        <v>1242.1</v>
      </c>
      <c r="D216" s="218"/>
      <c r="E216" s="218"/>
      <c r="F216" s="220">
        <f>+G216+J216</f>
        <v>0</v>
      </c>
      <c r="G216" s="217"/>
      <c r="H216" s="218"/>
      <c r="I216" s="218"/>
      <c r="J216" s="218"/>
      <c r="K216" s="218"/>
      <c r="L216" s="219"/>
      <c r="M216" s="220">
        <f t="shared" si="42"/>
        <v>1242.1</v>
      </c>
    </row>
    <row r="217" spans="1:13" ht="75.75" customHeight="1">
      <c r="A217" s="352" t="s">
        <v>342</v>
      </c>
      <c r="B217" s="291" t="s">
        <v>100</v>
      </c>
      <c r="C217" s="216">
        <v>1599.5</v>
      </c>
      <c r="D217" s="218"/>
      <c r="E217" s="218"/>
      <c r="F217" s="220">
        <f t="shared" si="43"/>
        <v>0</v>
      </c>
      <c r="G217" s="217"/>
      <c r="H217" s="218"/>
      <c r="I217" s="218"/>
      <c r="J217" s="218"/>
      <c r="K217" s="218"/>
      <c r="L217" s="219"/>
      <c r="M217" s="220">
        <f t="shared" si="42"/>
        <v>1599.5</v>
      </c>
    </row>
    <row r="218" spans="1:13" ht="12.75">
      <c r="A218" s="198" t="s">
        <v>232</v>
      </c>
      <c r="B218" s="347" t="s">
        <v>423</v>
      </c>
      <c r="C218" s="216">
        <f>6970.671+500+150.853</f>
        <v>7621.524</v>
      </c>
      <c r="D218" s="218"/>
      <c r="E218" s="218"/>
      <c r="F218" s="220">
        <f t="shared" si="43"/>
        <v>0</v>
      </c>
      <c r="G218" s="217"/>
      <c r="H218" s="218"/>
      <c r="I218" s="218"/>
      <c r="J218" s="218"/>
      <c r="K218" s="218"/>
      <c r="L218" s="219"/>
      <c r="M218" s="220">
        <f t="shared" si="42"/>
        <v>7621.524</v>
      </c>
    </row>
    <row r="219" spans="1:13" ht="12" customHeight="1">
      <c r="A219" s="197" t="s">
        <v>134</v>
      </c>
      <c r="B219" s="348"/>
      <c r="C219" s="222">
        <f aca="true" t="shared" si="44" ref="C219:L219">+C220</f>
        <v>5000</v>
      </c>
      <c r="D219" s="224">
        <f t="shared" si="44"/>
        <v>0</v>
      </c>
      <c r="E219" s="224">
        <f t="shared" si="44"/>
        <v>0</v>
      </c>
      <c r="F219" s="253">
        <f t="shared" si="44"/>
        <v>0</v>
      </c>
      <c r="G219" s="223">
        <f t="shared" si="44"/>
        <v>0</v>
      </c>
      <c r="H219" s="224">
        <f t="shared" si="44"/>
        <v>0</v>
      </c>
      <c r="I219" s="224">
        <f t="shared" si="44"/>
        <v>0</v>
      </c>
      <c r="J219" s="224">
        <f t="shared" si="44"/>
        <v>0</v>
      </c>
      <c r="K219" s="224">
        <f t="shared" si="44"/>
        <v>0</v>
      </c>
      <c r="L219" s="225">
        <f t="shared" si="44"/>
        <v>0</v>
      </c>
      <c r="M219" s="222">
        <f t="shared" si="42"/>
        <v>5000</v>
      </c>
    </row>
    <row r="220" spans="1:13" ht="12.75">
      <c r="A220" s="203">
        <v>250102</v>
      </c>
      <c r="B220" s="349" t="s">
        <v>229</v>
      </c>
      <c r="C220" s="216">
        <v>5000</v>
      </c>
      <c r="D220" s="264"/>
      <c r="E220" s="264"/>
      <c r="F220" s="266">
        <f>+G220+J220</f>
        <v>0</v>
      </c>
      <c r="G220" s="387"/>
      <c r="H220" s="264"/>
      <c r="I220" s="264"/>
      <c r="J220" s="264"/>
      <c r="K220" s="264"/>
      <c r="L220" s="265"/>
      <c r="M220" s="266">
        <f t="shared" si="42"/>
        <v>5000</v>
      </c>
    </row>
    <row r="221" spans="1:13" ht="12.75" customHeight="1">
      <c r="A221" s="204"/>
      <c r="B221" s="350" t="s">
        <v>8</v>
      </c>
      <c r="C221" s="267">
        <f aca="true" t="shared" si="45" ref="C221:K221">C195+C219</f>
        <v>3016123.3439999996</v>
      </c>
      <c r="D221" s="267">
        <f t="shared" si="45"/>
        <v>743964.216</v>
      </c>
      <c r="E221" s="267">
        <f t="shared" si="45"/>
        <v>137386.871</v>
      </c>
      <c r="F221" s="269">
        <f t="shared" si="45"/>
        <v>188544.185</v>
      </c>
      <c r="G221" s="268">
        <f>G195+G219</f>
        <v>70793.06599999999</v>
      </c>
      <c r="H221" s="267">
        <f>H195+H219</f>
        <v>16807.848</v>
      </c>
      <c r="I221" s="267">
        <f>I195+I219</f>
        <v>5233.9039999999995</v>
      </c>
      <c r="J221" s="267">
        <f>J195+J219</f>
        <v>117751.119</v>
      </c>
      <c r="K221" s="269" t="e">
        <f t="shared" si="45"/>
        <v>#REF!</v>
      </c>
      <c r="L221" s="269">
        <f>1923.328+112.381+6.5+132.16+76.843+3224.711+360.575+178.066+386+198+290.8+5717.092+8100</f>
        <v>20706.456</v>
      </c>
      <c r="M221" s="267">
        <f>M195+M219</f>
        <v>3204667.529</v>
      </c>
    </row>
    <row r="222" spans="1:13" ht="12.75" customHeight="1" hidden="1" outlineLevel="1">
      <c r="A222" s="205"/>
      <c r="B222" s="93"/>
      <c r="C222" s="94" t="e">
        <f>+КФК!#REF!</f>
        <v>#REF!</v>
      </c>
      <c r="D222" s="94" t="e">
        <f>+КФК!#REF!</f>
        <v>#REF!</v>
      </c>
      <c r="E222" s="94" t="e">
        <f>+КФК!#REF!</f>
        <v>#REF!</v>
      </c>
      <c r="F222" s="94" t="e">
        <f>+КФК!#REF!</f>
        <v>#REF!</v>
      </c>
      <c r="G222" s="94" t="e">
        <f>+КФК!#REF!</f>
        <v>#REF!</v>
      </c>
      <c r="H222" s="94" t="e">
        <f>+КФК!#REF!</f>
        <v>#REF!</v>
      </c>
      <c r="I222" s="94" t="e">
        <f>+КФК!#REF!</f>
        <v>#REF!</v>
      </c>
      <c r="J222" s="94" t="e">
        <f>+КФК!#REF!</f>
        <v>#REF!</v>
      </c>
      <c r="K222" s="94" t="e">
        <f>+КФК!#REF!</f>
        <v>#REF!</v>
      </c>
      <c r="L222" s="94" t="e">
        <f>+КФК!#REF!</f>
        <v>#REF!</v>
      </c>
      <c r="M222" s="94" t="e">
        <f>+КФК!#REF!</f>
        <v>#REF!</v>
      </c>
    </row>
    <row r="223" spans="1:13" ht="12.75" customHeight="1" hidden="1" outlineLevel="1">
      <c r="A223" s="205"/>
      <c r="B223" s="93"/>
      <c r="C223" s="95" t="e">
        <f aca="true" t="shared" si="46" ref="C223:M223">+C222-C221</f>
        <v>#REF!</v>
      </c>
      <c r="D223" s="95" t="e">
        <f t="shared" si="46"/>
        <v>#REF!</v>
      </c>
      <c r="E223" s="95" t="e">
        <f t="shared" si="46"/>
        <v>#REF!</v>
      </c>
      <c r="F223" s="95" t="e">
        <f t="shared" si="46"/>
        <v>#REF!</v>
      </c>
      <c r="G223" s="95" t="e">
        <f t="shared" si="46"/>
        <v>#REF!</v>
      </c>
      <c r="H223" s="95" t="e">
        <f t="shared" si="46"/>
        <v>#REF!</v>
      </c>
      <c r="I223" s="95" t="e">
        <f t="shared" si="46"/>
        <v>#REF!</v>
      </c>
      <c r="J223" s="95" t="e">
        <f t="shared" si="46"/>
        <v>#REF!</v>
      </c>
      <c r="K223" s="95" t="e">
        <f t="shared" si="46"/>
        <v>#REF!</v>
      </c>
      <c r="L223" s="95" t="e">
        <f t="shared" si="46"/>
        <v>#REF!</v>
      </c>
      <c r="M223" s="95" t="e">
        <f t="shared" si="46"/>
        <v>#REF!</v>
      </c>
    </row>
    <row r="224" spans="1:13" ht="12.75" customHeight="1" hidden="1" outlineLevel="1">
      <c r="A224" s="205"/>
      <c r="B224" s="93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</row>
    <row r="225" spans="1:13" ht="12.75" customHeight="1" hidden="1" outlineLevel="1">
      <c r="A225" s="205"/>
      <c r="B225" s="93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 customHeight="1" collapsed="1">
      <c r="A226" s="206"/>
      <c r="B226" s="97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 customHeight="1">
      <c r="A227" s="206"/>
      <c r="B227" s="97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 customHeight="1">
      <c r="A228" s="206"/>
      <c r="B228" s="97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 ht="18">
      <c r="B229" s="292" t="s">
        <v>277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2:10" ht="18">
      <c r="B230" s="292" t="s">
        <v>234</v>
      </c>
      <c r="C230" s="100"/>
      <c r="D230" s="100"/>
      <c r="E230" s="100"/>
      <c r="G230" s="100"/>
      <c r="H230" s="100"/>
      <c r="I230" s="100"/>
      <c r="J230" s="100"/>
    </row>
    <row r="231" spans="2:13" ht="18">
      <c r="B231" s="292" t="s">
        <v>540</v>
      </c>
      <c r="K231" s="587" t="s">
        <v>539</v>
      </c>
      <c r="L231" s="587"/>
      <c r="M231" s="587"/>
    </row>
    <row r="232" spans="1:13" ht="15.75">
      <c r="A232" s="207"/>
      <c r="B232" s="101"/>
      <c r="C232" s="101"/>
      <c r="D232" s="101"/>
      <c r="E232" s="101"/>
      <c r="F232" s="101"/>
      <c r="G232" s="339"/>
      <c r="H232" s="101"/>
      <c r="I232" s="101"/>
      <c r="J232" s="101"/>
      <c r="K232" s="101"/>
      <c r="L232" s="101"/>
      <c r="M232" s="101"/>
    </row>
    <row r="233" ht="12.75">
      <c r="G233" s="100"/>
    </row>
    <row r="235" ht="12.75">
      <c r="J235" s="102"/>
    </row>
  </sheetData>
  <sheetProtection/>
  <mergeCells count="24">
    <mergeCell ref="J2:M2"/>
    <mergeCell ref="J3:M3"/>
    <mergeCell ref="J4:M4"/>
    <mergeCell ref="F9:F11"/>
    <mergeCell ref="B9:B11"/>
    <mergeCell ref="A9:A11"/>
    <mergeCell ref="B6:M6"/>
    <mergeCell ref="M8:M11"/>
    <mergeCell ref="C9:C11"/>
    <mergeCell ref="D9:E9"/>
    <mergeCell ref="D10:D11"/>
    <mergeCell ref="E10:E11"/>
    <mergeCell ref="C8:E8"/>
    <mergeCell ref="K9:L9"/>
    <mergeCell ref="J1:M1"/>
    <mergeCell ref="K231:M231"/>
    <mergeCell ref="G9:G11"/>
    <mergeCell ref="J9:J11"/>
    <mergeCell ref="H9:I9"/>
    <mergeCell ref="H10:H11"/>
    <mergeCell ref="I10:I11"/>
    <mergeCell ref="K10:K11"/>
    <mergeCell ref="F8:L8"/>
    <mergeCell ref="L10:L11"/>
  </mergeCells>
  <printOptions horizontalCentered="1"/>
  <pageMargins left="0.5905511811023623" right="0.1968503937007874" top="0.5905511811023623" bottom="0.1968503937007874" header="0.3937007874015748" footer="0.11811023622047245"/>
  <pageSetup firstPageNumber="13" useFirstPageNumber="1" fitToHeight="2" fitToWidth="2" horizontalDpi="300" verticalDpi="300" orientation="landscape" paperSize="9" scale="6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="65" zoomScaleNormal="65" zoomScaleSheetLayoutView="50" zoomScalePageLayoutView="0" workbookViewId="0" topLeftCell="A1">
      <pane xSplit="4" ySplit="11" topLeftCell="E3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K12" sqref="K12"/>
    </sheetView>
  </sheetViews>
  <sheetFormatPr defaultColWidth="9.00390625" defaultRowHeight="12.75" outlineLevelRow="1" outlineLevelCol="1"/>
  <cols>
    <col min="1" max="1" width="13.125" style="0" customWidth="1"/>
    <col min="2" max="2" width="49.875" style="0" customWidth="1"/>
    <col min="3" max="4" width="17.25390625" style="0" hidden="1" customWidth="1" outlineLevel="1"/>
    <col min="5" max="5" width="25.625" style="0" customWidth="1" collapsed="1"/>
    <col min="6" max="6" width="19.00390625" style="0" customWidth="1"/>
    <col min="7" max="7" width="17.00390625" style="0" customWidth="1"/>
    <col min="8" max="8" width="21.25390625" style="0" customWidth="1"/>
    <col min="9" max="9" width="38.375" style="0" customWidth="1"/>
    <col min="10" max="10" width="28.75390625" style="0" customWidth="1"/>
    <col min="11" max="11" width="31.125" style="0" customWidth="1" collapsed="1"/>
    <col min="12" max="12" width="21.375" style="0" hidden="1" customWidth="1" outlineLevel="1" collapsed="1"/>
    <col min="13" max="13" width="15.625" style="0" hidden="1" customWidth="1" outlineLevel="1"/>
    <col min="14" max="14" width="11.00390625" style="0" hidden="1" customWidth="1" outlineLevel="1" collapsed="1"/>
    <col min="15" max="15" width="16.375" style="0" hidden="1" customWidth="1" outlineLevel="1" collapsed="1"/>
    <col min="16" max="16" width="32.00390625" style="0" customWidth="1" collapsed="1"/>
    <col min="17" max="17" width="22.625" style="0" customWidth="1"/>
    <col min="18" max="18" width="28.625" style="0" customWidth="1"/>
    <col min="19" max="20" width="23.25390625" style="0" hidden="1" customWidth="1" outlineLevel="1"/>
    <col min="21" max="21" width="24.875" style="0" hidden="1" customWidth="1" outlineLevel="1"/>
    <col min="22" max="22" width="9.125" style="0" customWidth="1" collapsed="1"/>
  </cols>
  <sheetData>
    <row r="1" spans="6:20" ht="20.25" customHeight="1">
      <c r="F1" s="650"/>
      <c r="G1" s="650"/>
      <c r="H1" s="83"/>
      <c r="I1" s="89"/>
      <c r="J1" s="89"/>
      <c r="K1" s="89"/>
      <c r="L1" s="89"/>
      <c r="M1" s="89"/>
      <c r="N1" s="89"/>
      <c r="P1" s="89" t="s">
        <v>5</v>
      </c>
      <c r="Q1" s="89"/>
      <c r="R1" s="89"/>
      <c r="S1" s="89"/>
      <c r="T1" s="89"/>
    </row>
    <row r="2" spans="6:20" ht="20.25" customHeight="1">
      <c r="F2" s="3"/>
      <c r="G2" s="13"/>
      <c r="H2" s="83"/>
      <c r="I2" s="89"/>
      <c r="J2" s="89"/>
      <c r="K2" s="89"/>
      <c r="L2" s="89"/>
      <c r="M2" s="89"/>
      <c r="N2" s="89"/>
      <c r="P2" s="89" t="s">
        <v>275</v>
      </c>
      <c r="Q2" s="89"/>
      <c r="R2" s="89"/>
      <c r="S2" s="89"/>
      <c r="T2" s="89"/>
    </row>
    <row r="3" spans="6:20" ht="20.25">
      <c r="F3" s="14"/>
      <c r="G3" s="15"/>
      <c r="H3" s="84"/>
      <c r="I3" s="90"/>
      <c r="J3" s="90"/>
      <c r="K3" s="90"/>
      <c r="L3" s="90"/>
      <c r="M3" s="90"/>
      <c r="N3" s="90"/>
      <c r="P3" s="90" t="s">
        <v>540</v>
      </c>
      <c r="Q3" s="90"/>
      <c r="R3" s="90"/>
      <c r="S3" s="90"/>
      <c r="T3" s="90"/>
    </row>
    <row r="4" spans="4:23" ht="20.25" customHeight="1">
      <c r="D4" s="377" t="s">
        <v>156</v>
      </c>
      <c r="E4" s="377"/>
      <c r="F4" s="6"/>
      <c r="G4" s="6"/>
      <c r="H4" s="71"/>
      <c r="I4" s="107"/>
      <c r="J4" s="107"/>
      <c r="K4" s="107"/>
      <c r="L4" s="107"/>
      <c r="M4" s="107"/>
      <c r="N4" s="107"/>
      <c r="O4" s="107"/>
      <c r="P4" s="655" t="s">
        <v>243</v>
      </c>
      <c r="Q4" s="655"/>
      <c r="R4" s="655"/>
      <c r="S4" s="107"/>
      <c r="T4" s="107"/>
      <c r="U4" s="107"/>
      <c r="V4" s="107"/>
      <c r="W4" s="107"/>
    </row>
    <row r="5" spans="6:20" ht="18">
      <c r="F5" s="6"/>
      <c r="G5" s="6"/>
      <c r="H5" s="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ht="21.75" customHeight="1">
      <c r="B6" s="105"/>
      <c r="C6" s="105"/>
      <c r="D6" s="105"/>
      <c r="E6" s="638" t="s">
        <v>370</v>
      </c>
      <c r="F6" s="638"/>
      <c r="G6" s="638"/>
      <c r="H6" s="638"/>
      <c r="I6" s="638"/>
      <c r="J6" s="638"/>
      <c r="K6" s="638"/>
      <c r="L6" s="638"/>
      <c r="M6" s="105"/>
      <c r="N6" s="105"/>
      <c r="O6" s="105"/>
      <c r="P6" s="105"/>
      <c r="Q6" s="105"/>
      <c r="R6" s="105"/>
      <c r="S6" s="17"/>
      <c r="T6" s="17"/>
    </row>
    <row r="7" spans="2:21" ht="16.5" customHeight="1">
      <c r="B7" s="18"/>
      <c r="C7" s="18"/>
      <c r="D7" s="18"/>
      <c r="E7" s="18"/>
      <c r="F7" s="19"/>
      <c r="G7" s="20"/>
      <c r="H7" s="20"/>
      <c r="I7" s="69"/>
      <c r="J7" s="69"/>
      <c r="K7" s="20"/>
      <c r="L7" s="20"/>
      <c r="M7" s="20"/>
      <c r="N7" s="20"/>
      <c r="O7" s="20"/>
      <c r="P7" s="20"/>
      <c r="Q7" s="20"/>
      <c r="R7" s="20" t="s">
        <v>607</v>
      </c>
      <c r="S7" s="20"/>
      <c r="T7" s="20" t="s">
        <v>607</v>
      </c>
      <c r="U7" s="20" t="s">
        <v>607</v>
      </c>
    </row>
    <row r="8" spans="1:21" ht="29.25" customHeight="1">
      <c r="A8" s="656" t="s">
        <v>588</v>
      </c>
      <c r="B8" s="656" t="s">
        <v>589</v>
      </c>
      <c r="C8" s="648" t="s">
        <v>617</v>
      </c>
      <c r="D8" s="648" t="s">
        <v>373</v>
      </c>
      <c r="E8" s="645" t="s">
        <v>552</v>
      </c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7"/>
      <c r="S8" s="653" t="s">
        <v>3</v>
      </c>
      <c r="T8" s="654"/>
      <c r="U8" s="374"/>
    </row>
    <row r="9" spans="1:23" ht="12.75" customHeight="1">
      <c r="A9" s="657"/>
      <c r="B9" s="657"/>
      <c r="C9" s="649"/>
      <c r="D9" s="649"/>
      <c r="E9" s="639" t="s">
        <v>98</v>
      </c>
      <c r="F9" s="639" t="s">
        <v>521</v>
      </c>
      <c r="G9" s="639" t="s">
        <v>522</v>
      </c>
      <c r="H9" s="639" t="s">
        <v>523</v>
      </c>
      <c r="I9" s="639" t="s">
        <v>301</v>
      </c>
      <c r="J9" s="639" t="s">
        <v>524</v>
      </c>
      <c r="K9" s="639" t="s">
        <v>246</v>
      </c>
      <c r="L9" s="639" t="s">
        <v>123</v>
      </c>
      <c r="M9" s="642" t="s">
        <v>431</v>
      </c>
      <c r="N9" s="651" t="s">
        <v>192</v>
      </c>
      <c r="O9" s="639" t="s">
        <v>192</v>
      </c>
      <c r="P9" s="639" t="s">
        <v>244</v>
      </c>
      <c r="Q9" s="639" t="s">
        <v>360</v>
      </c>
      <c r="R9" s="639" t="s">
        <v>245</v>
      </c>
      <c r="S9" s="639" t="s">
        <v>302</v>
      </c>
      <c r="T9" s="639" t="s">
        <v>303</v>
      </c>
      <c r="U9" s="648" t="s">
        <v>356</v>
      </c>
      <c r="V9" s="375"/>
      <c r="W9" s="375"/>
    </row>
    <row r="10" spans="1:23" ht="229.5" customHeight="1">
      <c r="A10" s="657"/>
      <c r="B10" s="657"/>
      <c r="C10" s="649"/>
      <c r="D10" s="649"/>
      <c r="E10" s="640"/>
      <c r="F10" s="640"/>
      <c r="G10" s="640"/>
      <c r="H10" s="640"/>
      <c r="I10" s="640"/>
      <c r="J10" s="640"/>
      <c r="K10" s="640"/>
      <c r="L10" s="640"/>
      <c r="M10" s="643"/>
      <c r="N10" s="652"/>
      <c r="O10" s="640"/>
      <c r="P10" s="640"/>
      <c r="Q10" s="640"/>
      <c r="R10" s="640"/>
      <c r="S10" s="640"/>
      <c r="T10" s="640"/>
      <c r="U10" s="649"/>
      <c r="V10" s="375"/>
      <c r="W10" s="375"/>
    </row>
    <row r="11" spans="1:23" ht="89.25" customHeight="1">
      <c r="A11" s="658"/>
      <c r="B11" s="658"/>
      <c r="C11" s="659"/>
      <c r="D11" s="659"/>
      <c r="E11" s="641"/>
      <c r="F11" s="641"/>
      <c r="G11" s="641"/>
      <c r="H11" s="641"/>
      <c r="I11" s="641"/>
      <c r="J11" s="641"/>
      <c r="K11" s="641"/>
      <c r="L11" s="641"/>
      <c r="M11" s="644"/>
      <c r="N11" s="376" t="s">
        <v>571</v>
      </c>
      <c r="O11" s="641"/>
      <c r="P11" s="641"/>
      <c r="Q11" s="641"/>
      <c r="R11" s="641"/>
      <c r="S11" s="641"/>
      <c r="T11" s="640"/>
      <c r="U11" s="649"/>
      <c r="V11" s="375"/>
      <c r="W11" s="375"/>
    </row>
    <row r="12" spans="1:21" ht="18">
      <c r="A12" s="68"/>
      <c r="B12" s="329" t="s">
        <v>4</v>
      </c>
      <c r="C12" s="330"/>
      <c r="D12" s="330"/>
      <c r="E12" s="331"/>
      <c r="F12" s="329"/>
      <c r="G12" s="329"/>
      <c r="H12" s="332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6"/>
      <c r="T12" s="378"/>
      <c r="U12" s="67"/>
    </row>
    <row r="13" spans="1:21" ht="18.75">
      <c r="A13" s="365" t="s">
        <v>590</v>
      </c>
      <c r="B13" s="353" t="s">
        <v>235</v>
      </c>
      <c r="C13" s="60"/>
      <c r="D13" s="60"/>
      <c r="E13" s="61">
        <v>94554.982</v>
      </c>
      <c r="F13" s="61">
        <v>863.05</v>
      </c>
      <c r="G13" s="61"/>
      <c r="H13" s="61">
        <v>210566.196</v>
      </c>
      <c r="I13" s="61">
        <v>14768.638</v>
      </c>
      <c r="J13" s="61">
        <v>1089.78</v>
      </c>
      <c r="K13" s="61">
        <v>25.25</v>
      </c>
      <c r="L13" s="61"/>
      <c r="M13" s="61"/>
      <c r="N13" s="61"/>
      <c r="O13" s="61"/>
      <c r="P13" s="61"/>
      <c r="Q13" s="61"/>
      <c r="R13" s="62">
        <v>500</v>
      </c>
      <c r="S13" s="61"/>
      <c r="T13" s="61"/>
      <c r="U13" s="61"/>
    </row>
    <row r="14" spans="1:21" ht="18.75">
      <c r="A14" s="365" t="s">
        <v>591</v>
      </c>
      <c r="B14" s="353" t="s">
        <v>236</v>
      </c>
      <c r="C14" s="60"/>
      <c r="D14" s="60"/>
      <c r="E14" s="61">
        <v>19729.297</v>
      </c>
      <c r="F14" s="61">
        <v>122.843</v>
      </c>
      <c r="G14" s="61">
        <v>1659.684</v>
      </c>
      <c r="H14" s="61">
        <v>48839.201</v>
      </c>
      <c r="I14" s="61">
        <v>10033.694</v>
      </c>
      <c r="J14" s="61">
        <v>604.544</v>
      </c>
      <c r="K14" s="61"/>
      <c r="L14" s="61"/>
      <c r="M14" s="61"/>
      <c r="N14" s="61"/>
      <c r="O14" s="61"/>
      <c r="P14" s="61"/>
      <c r="Q14" s="61"/>
      <c r="R14" s="62">
        <v>500</v>
      </c>
      <c r="S14" s="61"/>
      <c r="T14" s="61"/>
      <c r="U14" s="61"/>
    </row>
    <row r="15" spans="1:21" ht="18.75">
      <c r="A15" s="365" t="s">
        <v>592</v>
      </c>
      <c r="B15" s="353" t="s">
        <v>237</v>
      </c>
      <c r="C15" s="60"/>
      <c r="D15" s="60"/>
      <c r="E15" s="61">
        <v>9314.995</v>
      </c>
      <c r="F15" s="61">
        <v>1383.087</v>
      </c>
      <c r="G15" s="61">
        <v>995.81</v>
      </c>
      <c r="H15" s="61">
        <v>38685.437</v>
      </c>
      <c r="I15" s="61">
        <v>2969.475</v>
      </c>
      <c r="J15" s="61">
        <v>286.119</v>
      </c>
      <c r="K15" s="61"/>
      <c r="L15" s="61"/>
      <c r="M15" s="61"/>
      <c r="N15" s="61"/>
      <c r="O15" s="61"/>
      <c r="P15" s="61"/>
      <c r="Q15" s="61"/>
      <c r="R15" s="62"/>
      <c r="S15" s="61"/>
      <c r="T15" s="61"/>
      <c r="U15" s="61"/>
    </row>
    <row r="16" spans="1:21" ht="18.75">
      <c r="A16" s="365" t="s">
        <v>593</v>
      </c>
      <c r="B16" s="353" t="s">
        <v>238</v>
      </c>
      <c r="C16" s="60"/>
      <c r="D16" s="60"/>
      <c r="E16" s="61">
        <v>4265.06</v>
      </c>
      <c r="F16" s="61">
        <v>1156.51</v>
      </c>
      <c r="G16" s="61"/>
      <c r="H16" s="61">
        <v>24372.623</v>
      </c>
      <c r="I16" s="61">
        <v>242.176</v>
      </c>
      <c r="J16" s="61">
        <v>117.63</v>
      </c>
      <c r="K16" s="61"/>
      <c r="L16" s="61"/>
      <c r="M16" s="61"/>
      <c r="N16" s="61"/>
      <c r="O16" s="61"/>
      <c r="P16" s="61"/>
      <c r="Q16" s="61"/>
      <c r="R16" s="62"/>
      <c r="S16" s="61"/>
      <c r="T16" s="61"/>
      <c r="U16" s="61"/>
    </row>
    <row r="17" spans="1:21" ht="18.75">
      <c r="A17" s="365" t="s">
        <v>594</v>
      </c>
      <c r="B17" s="353" t="s">
        <v>239</v>
      </c>
      <c r="C17" s="60"/>
      <c r="D17" s="60"/>
      <c r="E17" s="61">
        <v>3020.107</v>
      </c>
      <c r="F17" s="61">
        <v>157.943</v>
      </c>
      <c r="G17" s="61"/>
      <c r="H17" s="61">
        <v>16525.43</v>
      </c>
      <c r="I17" s="61">
        <v>398.119</v>
      </c>
      <c r="J17" s="61">
        <v>148.018</v>
      </c>
      <c r="K17" s="61"/>
      <c r="L17" s="61"/>
      <c r="M17" s="61"/>
      <c r="N17" s="61"/>
      <c r="O17" s="61"/>
      <c r="P17" s="61"/>
      <c r="Q17" s="61"/>
      <c r="R17" s="62"/>
      <c r="S17" s="61"/>
      <c r="T17" s="61"/>
      <c r="U17" s="61"/>
    </row>
    <row r="18" spans="1:21" ht="18.75">
      <c r="A18" s="365" t="s">
        <v>595</v>
      </c>
      <c r="B18" s="353" t="s">
        <v>240</v>
      </c>
      <c r="C18" s="60"/>
      <c r="D18" s="60"/>
      <c r="E18" s="61">
        <v>7633.716</v>
      </c>
      <c r="F18" s="61">
        <v>1991.989</v>
      </c>
      <c r="G18" s="61">
        <v>995.81</v>
      </c>
      <c r="H18" s="61">
        <v>59801.276</v>
      </c>
      <c r="I18" s="61">
        <v>4518.58</v>
      </c>
      <c r="J18" s="61">
        <v>200.266</v>
      </c>
      <c r="K18" s="61">
        <v>28.93</v>
      </c>
      <c r="L18" s="61"/>
      <c r="M18" s="61"/>
      <c r="N18" s="61"/>
      <c r="O18" s="61"/>
      <c r="P18" s="61"/>
      <c r="Q18" s="61"/>
      <c r="R18" s="62"/>
      <c r="S18" s="61"/>
      <c r="T18" s="61"/>
      <c r="U18" s="61"/>
    </row>
    <row r="19" spans="1:21" ht="18.75">
      <c r="A19" s="365" t="s">
        <v>596</v>
      </c>
      <c r="B19" s="353" t="s">
        <v>241</v>
      </c>
      <c r="C19" s="60"/>
      <c r="D19" s="60"/>
      <c r="E19" s="61">
        <v>9522.958</v>
      </c>
      <c r="F19" s="61">
        <v>434.028</v>
      </c>
      <c r="G19" s="61"/>
      <c r="H19" s="61">
        <v>46583.839</v>
      </c>
      <c r="I19" s="61">
        <v>6439.222</v>
      </c>
      <c r="J19" s="61">
        <v>244.663</v>
      </c>
      <c r="K19" s="61"/>
      <c r="L19" s="61"/>
      <c r="M19" s="61"/>
      <c r="N19" s="61"/>
      <c r="O19" s="61"/>
      <c r="P19" s="61"/>
      <c r="Q19" s="61"/>
      <c r="R19" s="62"/>
      <c r="S19" s="61"/>
      <c r="T19" s="61"/>
      <c r="U19" s="61"/>
    </row>
    <row r="20" spans="1:21" ht="18.75">
      <c r="A20" s="365" t="s">
        <v>597</v>
      </c>
      <c r="B20" s="353" t="s">
        <v>250</v>
      </c>
      <c r="C20" s="60"/>
      <c r="D20" s="60"/>
      <c r="E20" s="61">
        <v>28263.983</v>
      </c>
      <c r="F20" s="61">
        <v>765.299</v>
      </c>
      <c r="G20" s="61">
        <v>995.81</v>
      </c>
      <c r="H20" s="61">
        <v>61058.51</v>
      </c>
      <c r="I20" s="61">
        <v>4520.464</v>
      </c>
      <c r="J20" s="61">
        <v>166.545</v>
      </c>
      <c r="K20" s="61"/>
      <c r="L20" s="61"/>
      <c r="M20" s="61"/>
      <c r="N20" s="61"/>
      <c r="O20" s="61"/>
      <c r="P20" s="61"/>
      <c r="Q20" s="61"/>
      <c r="R20" s="62"/>
      <c r="S20" s="61"/>
      <c r="T20" s="61"/>
      <c r="U20" s="61"/>
    </row>
    <row r="21" spans="1:21" ht="18.75">
      <c r="A21" s="365" t="s">
        <v>598</v>
      </c>
      <c r="B21" s="353" t="s">
        <v>251</v>
      </c>
      <c r="C21" s="60"/>
      <c r="D21" s="60"/>
      <c r="E21" s="61">
        <v>8748.287</v>
      </c>
      <c r="F21" s="61">
        <v>1072.137</v>
      </c>
      <c r="G21" s="61"/>
      <c r="H21" s="61">
        <v>34066.772</v>
      </c>
      <c r="I21" s="61">
        <v>1790.611</v>
      </c>
      <c r="J21" s="61">
        <v>487.953</v>
      </c>
      <c r="K21" s="61">
        <v>22.86</v>
      </c>
      <c r="L21" s="61"/>
      <c r="M21" s="61"/>
      <c r="N21" s="61"/>
      <c r="O21" s="61"/>
      <c r="P21" s="61"/>
      <c r="Q21" s="61"/>
      <c r="R21" s="62"/>
      <c r="S21" s="61"/>
      <c r="T21" s="61"/>
      <c r="U21" s="61"/>
    </row>
    <row r="22" spans="1:21" ht="18.75">
      <c r="A22" s="365" t="s">
        <v>599</v>
      </c>
      <c r="B22" s="353" t="s">
        <v>252</v>
      </c>
      <c r="C22" s="60"/>
      <c r="D22" s="60"/>
      <c r="E22" s="61">
        <v>7757.659</v>
      </c>
      <c r="F22" s="61">
        <v>2484.005</v>
      </c>
      <c r="G22" s="61">
        <v>497.905</v>
      </c>
      <c r="H22" s="61">
        <v>41005.956</v>
      </c>
      <c r="I22" s="61">
        <v>6128.366</v>
      </c>
      <c r="J22" s="61">
        <v>383.258</v>
      </c>
      <c r="K22" s="61">
        <v>25.393</v>
      </c>
      <c r="L22" s="61"/>
      <c r="M22" s="61"/>
      <c r="N22" s="61"/>
      <c r="O22" s="61"/>
      <c r="P22" s="61"/>
      <c r="Q22" s="61"/>
      <c r="R22" s="62">
        <v>500</v>
      </c>
      <c r="S22" s="61"/>
      <c r="T22" s="61"/>
      <c r="U22" s="61"/>
    </row>
    <row r="23" spans="1:21" ht="18.75">
      <c r="A23" s="365">
        <v>11</v>
      </c>
      <c r="B23" s="353" t="s">
        <v>253</v>
      </c>
      <c r="C23" s="60"/>
      <c r="D23" s="62"/>
      <c r="E23" s="61">
        <v>14087.154</v>
      </c>
      <c r="F23" s="61">
        <v>46.353</v>
      </c>
      <c r="G23" s="61"/>
      <c r="H23" s="61">
        <v>31190.222</v>
      </c>
      <c r="I23" s="61">
        <v>581.369</v>
      </c>
      <c r="J23" s="61">
        <v>116.282</v>
      </c>
      <c r="K23" s="61">
        <v>61.285</v>
      </c>
      <c r="L23" s="61"/>
      <c r="M23" s="61"/>
      <c r="N23" s="61"/>
      <c r="O23" s="61"/>
      <c r="P23" s="61"/>
      <c r="Q23" s="61"/>
      <c r="R23" s="62"/>
      <c r="S23" s="61"/>
      <c r="T23" s="61"/>
      <c r="U23" s="61"/>
    </row>
    <row r="24" spans="1:21" ht="18.75">
      <c r="A24" s="365">
        <v>12</v>
      </c>
      <c r="B24" s="353" t="s">
        <v>254</v>
      </c>
      <c r="C24" s="60"/>
      <c r="D24" s="60"/>
      <c r="E24" s="61">
        <v>10409.304</v>
      </c>
      <c r="F24" s="61">
        <v>761.418</v>
      </c>
      <c r="G24" s="61">
        <v>829.842</v>
      </c>
      <c r="H24" s="61">
        <v>59179.006</v>
      </c>
      <c r="I24" s="61">
        <v>460.539</v>
      </c>
      <c r="J24" s="61">
        <v>604.546</v>
      </c>
      <c r="K24" s="61">
        <v>28.315</v>
      </c>
      <c r="L24" s="61"/>
      <c r="M24" s="61"/>
      <c r="N24" s="61"/>
      <c r="O24" s="61"/>
      <c r="P24" s="61"/>
      <c r="Q24" s="61"/>
      <c r="R24" s="62"/>
      <c r="S24" s="61"/>
      <c r="T24" s="62"/>
      <c r="U24" s="61"/>
    </row>
    <row r="25" spans="1:21" ht="18.75">
      <c r="A25" s="365">
        <v>13</v>
      </c>
      <c r="B25" s="353" t="s">
        <v>361</v>
      </c>
      <c r="C25" s="60"/>
      <c r="D25" s="60"/>
      <c r="E25" s="61">
        <v>42831.203</v>
      </c>
      <c r="F25" s="61">
        <v>129.761</v>
      </c>
      <c r="G25" s="61"/>
      <c r="H25" s="61">
        <v>54649.144</v>
      </c>
      <c r="I25" s="61">
        <v>10040.384</v>
      </c>
      <c r="J25" s="61">
        <v>125.861</v>
      </c>
      <c r="K25" s="61">
        <v>12.538</v>
      </c>
      <c r="L25" s="61"/>
      <c r="M25" s="61"/>
      <c r="N25" s="61"/>
      <c r="O25" s="61"/>
      <c r="P25" s="61"/>
      <c r="Q25" s="61"/>
      <c r="R25" s="62"/>
      <c r="S25" s="61"/>
      <c r="T25" s="62"/>
      <c r="U25" s="61"/>
    </row>
    <row r="26" spans="1:21" ht="18.75">
      <c r="A26" s="365">
        <v>14</v>
      </c>
      <c r="B26" s="353" t="s">
        <v>255</v>
      </c>
      <c r="C26" s="60"/>
      <c r="D26" s="60"/>
      <c r="E26" s="61">
        <v>15154.304</v>
      </c>
      <c r="F26" s="61">
        <v>200.508</v>
      </c>
      <c r="G26" s="61">
        <v>995.81</v>
      </c>
      <c r="H26" s="61">
        <v>46725.262</v>
      </c>
      <c r="I26" s="61">
        <v>996.412</v>
      </c>
      <c r="J26" s="61">
        <v>190.892</v>
      </c>
      <c r="K26" s="61">
        <v>68.1</v>
      </c>
      <c r="L26" s="61"/>
      <c r="M26" s="61"/>
      <c r="N26" s="61"/>
      <c r="O26" s="61"/>
      <c r="P26" s="61"/>
      <c r="Q26" s="61"/>
      <c r="R26" s="62"/>
      <c r="S26" s="61"/>
      <c r="T26" s="62"/>
      <c r="U26" s="61"/>
    </row>
    <row r="27" spans="1:21" ht="19.5">
      <c r="A27" s="365"/>
      <c r="B27" s="354" t="s">
        <v>256</v>
      </c>
      <c r="C27" s="60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  <c r="S27" s="62"/>
      <c r="T27" s="62"/>
      <c r="U27" s="61"/>
    </row>
    <row r="28" spans="1:21" ht="18.75">
      <c r="A28" s="365">
        <v>15</v>
      </c>
      <c r="B28" s="353" t="s">
        <v>257</v>
      </c>
      <c r="C28" s="60"/>
      <c r="D28" s="60"/>
      <c r="E28" s="61">
        <v>1927.545</v>
      </c>
      <c r="F28" s="61">
        <v>469.75</v>
      </c>
      <c r="G28" s="61"/>
      <c r="H28" s="61">
        <v>15104.876</v>
      </c>
      <c r="I28" s="61">
        <v>56.992</v>
      </c>
      <c r="J28" s="61">
        <v>54.889</v>
      </c>
      <c r="K28" s="61">
        <v>54.099</v>
      </c>
      <c r="L28" s="61"/>
      <c r="M28" s="61"/>
      <c r="N28" s="61"/>
      <c r="O28" s="61"/>
      <c r="P28" s="61"/>
      <c r="Q28" s="61"/>
      <c r="R28" s="62">
        <v>99.5</v>
      </c>
      <c r="S28" s="62"/>
      <c r="T28" s="62"/>
      <c r="U28" s="61"/>
    </row>
    <row r="29" spans="1:21" ht="18.75">
      <c r="A29" s="365">
        <v>16</v>
      </c>
      <c r="B29" s="353" t="s">
        <v>259</v>
      </c>
      <c r="C29" s="60"/>
      <c r="D29" s="60"/>
      <c r="E29" s="61">
        <v>4825.162</v>
      </c>
      <c r="F29" s="61">
        <v>170.371</v>
      </c>
      <c r="G29" s="61"/>
      <c r="H29" s="61">
        <v>14589.612</v>
      </c>
      <c r="I29" s="61">
        <v>195.267</v>
      </c>
      <c r="J29" s="61">
        <v>85.757</v>
      </c>
      <c r="K29" s="61">
        <v>62.625</v>
      </c>
      <c r="L29" s="61"/>
      <c r="M29" s="61"/>
      <c r="N29" s="61"/>
      <c r="O29" s="61"/>
      <c r="P29" s="61"/>
      <c r="Q29" s="61"/>
      <c r="R29" s="62"/>
      <c r="S29" s="62"/>
      <c r="T29" s="62"/>
      <c r="U29" s="61"/>
    </row>
    <row r="30" spans="1:21" ht="18.75">
      <c r="A30" s="365">
        <v>17</v>
      </c>
      <c r="B30" s="353" t="s">
        <v>260</v>
      </c>
      <c r="C30" s="60"/>
      <c r="D30" s="60"/>
      <c r="E30" s="61">
        <v>4043.572</v>
      </c>
      <c r="F30" s="61">
        <v>239.979</v>
      </c>
      <c r="G30" s="61"/>
      <c r="H30" s="61">
        <v>12669.961</v>
      </c>
      <c r="I30" s="61">
        <v>304.343</v>
      </c>
      <c r="J30" s="61">
        <v>156.832</v>
      </c>
      <c r="K30" s="61">
        <v>11.808</v>
      </c>
      <c r="L30" s="61"/>
      <c r="M30" s="61"/>
      <c r="N30" s="61"/>
      <c r="O30" s="61"/>
      <c r="P30" s="61"/>
      <c r="Q30" s="61"/>
      <c r="R30" s="62"/>
      <c r="S30" s="62"/>
      <c r="T30" s="62"/>
      <c r="U30" s="61"/>
    </row>
    <row r="31" spans="1:21" ht="18.75">
      <c r="A31" s="365">
        <v>18</v>
      </c>
      <c r="B31" s="353" t="s">
        <v>261</v>
      </c>
      <c r="C31" s="60"/>
      <c r="D31" s="60"/>
      <c r="E31" s="61">
        <v>3130.36</v>
      </c>
      <c r="F31" s="61">
        <v>435.62</v>
      </c>
      <c r="G31" s="61"/>
      <c r="H31" s="61">
        <v>14639.623</v>
      </c>
      <c r="I31" s="61">
        <v>35.345</v>
      </c>
      <c r="J31" s="61">
        <v>574.804</v>
      </c>
      <c r="K31" s="61">
        <v>87.686</v>
      </c>
      <c r="L31" s="61"/>
      <c r="M31" s="61"/>
      <c r="N31" s="61"/>
      <c r="O31" s="61"/>
      <c r="P31" s="61"/>
      <c r="Q31" s="61"/>
      <c r="R31" s="62"/>
      <c r="S31" s="62"/>
      <c r="T31" s="62"/>
      <c r="U31" s="61"/>
    </row>
    <row r="32" spans="1:21" ht="18.75">
      <c r="A32" s="365">
        <v>19</v>
      </c>
      <c r="B32" s="353" t="s">
        <v>262</v>
      </c>
      <c r="C32" s="60"/>
      <c r="D32" s="60"/>
      <c r="E32" s="61">
        <v>8561.407</v>
      </c>
      <c r="F32" s="61">
        <v>393.966</v>
      </c>
      <c r="G32" s="61"/>
      <c r="H32" s="61">
        <v>24739.248</v>
      </c>
      <c r="I32" s="61">
        <v>515.098</v>
      </c>
      <c r="J32" s="61">
        <v>49.445</v>
      </c>
      <c r="K32" s="61">
        <v>79.127</v>
      </c>
      <c r="L32" s="61"/>
      <c r="M32" s="61"/>
      <c r="N32" s="61"/>
      <c r="O32" s="61"/>
      <c r="P32" s="61"/>
      <c r="Q32" s="61"/>
      <c r="R32" s="62"/>
      <c r="S32" s="62"/>
      <c r="T32" s="62"/>
      <c r="U32" s="61"/>
    </row>
    <row r="33" spans="1:21" ht="18.75">
      <c r="A33" s="365">
        <v>20</v>
      </c>
      <c r="B33" s="353" t="s">
        <v>263</v>
      </c>
      <c r="C33" s="60"/>
      <c r="D33" s="60"/>
      <c r="E33" s="61">
        <v>6560.509</v>
      </c>
      <c r="F33" s="61">
        <v>461.632</v>
      </c>
      <c r="G33" s="61"/>
      <c r="H33" s="61">
        <v>31430.592</v>
      </c>
      <c r="I33" s="61">
        <v>2879.926</v>
      </c>
      <c r="J33" s="61">
        <v>389.695</v>
      </c>
      <c r="K33" s="61">
        <v>73.828</v>
      </c>
      <c r="L33" s="61"/>
      <c r="M33" s="61"/>
      <c r="N33" s="61"/>
      <c r="O33" s="61"/>
      <c r="P33" s="61"/>
      <c r="Q33" s="61"/>
      <c r="R33" s="62"/>
      <c r="S33" s="62"/>
      <c r="T33" s="62"/>
      <c r="U33" s="61"/>
    </row>
    <row r="34" spans="1:21" ht="18.75">
      <c r="A34" s="365">
        <v>21</v>
      </c>
      <c r="B34" s="353" t="s">
        <v>264</v>
      </c>
      <c r="C34" s="60"/>
      <c r="D34" s="60"/>
      <c r="E34" s="61">
        <v>4364.795</v>
      </c>
      <c r="F34" s="61">
        <v>28.782</v>
      </c>
      <c r="G34" s="61"/>
      <c r="H34" s="61">
        <v>9601.01</v>
      </c>
      <c r="I34" s="61">
        <v>192.957</v>
      </c>
      <c r="J34" s="61">
        <v>222.636</v>
      </c>
      <c r="K34" s="61">
        <v>51.902</v>
      </c>
      <c r="L34" s="61"/>
      <c r="M34" s="61"/>
      <c r="N34" s="61"/>
      <c r="O34" s="61"/>
      <c r="P34" s="61"/>
      <c r="Q34" s="61"/>
      <c r="R34" s="62"/>
      <c r="S34" s="62"/>
      <c r="T34" s="62"/>
      <c r="U34" s="61"/>
    </row>
    <row r="35" spans="1:21" ht="18.75">
      <c r="A35" s="365">
        <v>22</v>
      </c>
      <c r="B35" s="353" t="s">
        <v>265</v>
      </c>
      <c r="C35" s="60"/>
      <c r="D35" s="60"/>
      <c r="E35" s="61">
        <v>2491.984</v>
      </c>
      <c r="F35" s="61">
        <v>107.576</v>
      </c>
      <c r="G35" s="61"/>
      <c r="H35" s="61">
        <v>7435.592</v>
      </c>
      <c r="I35" s="61">
        <v>75.784</v>
      </c>
      <c r="J35" s="61">
        <v>142.915</v>
      </c>
      <c r="K35" s="61">
        <v>51.68</v>
      </c>
      <c r="L35" s="61"/>
      <c r="M35" s="61"/>
      <c r="N35" s="61"/>
      <c r="O35" s="61"/>
      <c r="P35" s="61"/>
      <c r="Q35" s="61"/>
      <c r="R35" s="62"/>
      <c r="S35" s="62"/>
      <c r="T35" s="62"/>
      <c r="U35" s="61"/>
    </row>
    <row r="36" spans="1:21" ht="18.75">
      <c r="A36" s="365">
        <v>23</v>
      </c>
      <c r="B36" s="353" t="s">
        <v>266</v>
      </c>
      <c r="C36" s="60"/>
      <c r="D36" s="60"/>
      <c r="E36" s="61">
        <v>4138.674</v>
      </c>
      <c r="F36" s="61">
        <v>216.054</v>
      </c>
      <c r="G36" s="61"/>
      <c r="H36" s="61">
        <v>12257.945</v>
      </c>
      <c r="I36" s="61">
        <v>165.177</v>
      </c>
      <c r="J36" s="61">
        <v>146.522</v>
      </c>
      <c r="K36" s="61">
        <v>29.76</v>
      </c>
      <c r="L36" s="61"/>
      <c r="M36" s="61"/>
      <c r="N36" s="61"/>
      <c r="O36" s="61"/>
      <c r="P36" s="61"/>
      <c r="Q36" s="61"/>
      <c r="R36" s="62"/>
      <c r="S36" s="62"/>
      <c r="T36" s="62"/>
      <c r="U36" s="61"/>
    </row>
    <row r="37" spans="1:21" ht="18.75">
      <c r="A37" s="365">
        <v>24</v>
      </c>
      <c r="B37" s="353" t="s">
        <v>267</v>
      </c>
      <c r="C37" s="60"/>
      <c r="D37" s="60"/>
      <c r="E37" s="61">
        <v>8061.035</v>
      </c>
      <c r="F37" s="61">
        <v>32.492</v>
      </c>
      <c r="G37" s="61"/>
      <c r="H37" s="61">
        <v>19658.751</v>
      </c>
      <c r="I37" s="61">
        <v>184.483</v>
      </c>
      <c r="J37" s="61">
        <v>76.086</v>
      </c>
      <c r="K37" s="61">
        <v>26.077</v>
      </c>
      <c r="L37" s="61"/>
      <c r="M37" s="61"/>
      <c r="N37" s="61"/>
      <c r="O37" s="61"/>
      <c r="P37" s="61"/>
      <c r="Q37" s="61"/>
      <c r="R37" s="62"/>
      <c r="S37" s="62"/>
      <c r="T37" s="62"/>
      <c r="U37" s="61"/>
    </row>
    <row r="38" spans="1:21" ht="18.75">
      <c r="A38" s="365">
        <v>25</v>
      </c>
      <c r="B38" s="353" t="s">
        <v>268</v>
      </c>
      <c r="C38" s="60"/>
      <c r="D38" s="60"/>
      <c r="E38" s="61">
        <v>5485.675</v>
      </c>
      <c r="F38" s="61">
        <v>1225.064</v>
      </c>
      <c r="G38" s="61"/>
      <c r="H38" s="61">
        <v>32255.062</v>
      </c>
      <c r="I38" s="61">
        <v>1547.52</v>
      </c>
      <c r="J38" s="61">
        <v>284.98</v>
      </c>
      <c r="K38" s="61">
        <v>175.246</v>
      </c>
      <c r="L38" s="61"/>
      <c r="M38" s="61"/>
      <c r="N38" s="61"/>
      <c r="O38" s="61"/>
      <c r="P38" s="61"/>
      <c r="Q38" s="61"/>
      <c r="R38" s="62"/>
      <c r="S38" s="62"/>
      <c r="T38" s="62"/>
      <c r="U38" s="61"/>
    </row>
    <row r="39" spans="1:21" ht="18.75">
      <c r="A39" s="365">
        <v>26</v>
      </c>
      <c r="B39" s="353" t="s">
        <v>269</v>
      </c>
      <c r="C39" s="60"/>
      <c r="D39" s="60"/>
      <c r="E39" s="61">
        <v>5053.239</v>
      </c>
      <c r="F39" s="61">
        <v>653.158</v>
      </c>
      <c r="G39" s="61"/>
      <c r="H39" s="61">
        <v>23569.612</v>
      </c>
      <c r="I39" s="61">
        <v>380.784</v>
      </c>
      <c r="J39" s="61">
        <v>390.593</v>
      </c>
      <c r="K39" s="61">
        <v>39.1</v>
      </c>
      <c r="L39" s="61"/>
      <c r="M39" s="61"/>
      <c r="N39" s="61"/>
      <c r="O39" s="61"/>
      <c r="P39" s="61"/>
      <c r="Q39" s="61"/>
      <c r="R39" s="62"/>
      <c r="S39" s="62"/>
      <c r="T39" s="62"/>
      <c r="U39" s="61"/>
    </row>
    <row r="40" spans="1:21" ht="18.75">
      <c r="A40" s="365">
        <v>27</v>
      </c>
      <c r="B40" s="353" t="s">
        <v>270</v>
      </c>
      <c r="C40" s="60"/>
      <c r="D40" s="60"/>
      <c r="E40" s="61">
        <v>5197.555</v>
      </c>
      <c r="F40" s="61">
        <v>448.907</v>
      </c>
      <c r="G40" s="61"/>
      <c r="H40" s="61">
        <v>24952.335</v>
      </c>
      <c r="I40" s="61">
        <v>457.247</v>
      </c>
      <c r="J40" s="61">
        <v>164.709</v>
      </c>
      <c r="K40" s="61">
        <v>88.4</v>
      </c>
      <c r="L40" s="61"/>
      <c r="M40" s="61"/>
      <c r="N40" s="61"/>
      <c r="O40" s="61"/>
      <c r="P40" s="61"/>
      <c r="Q40" s="61"/>
      <c r="R40" s="62"/>
      <c r="S40" s="62"/>
      <c r="T40" s="62"/>
      <c r="U40" s="61"/>
    </row>
    <row r="41" spans="1:21" ht="18.75">
      <c r="A41" s="365">
        <v>28</v>
      </c>
      <c r="B41" s="353" t="s">
        <v>271</v>
      </c>
      <c r="C41" s="60"/>
      <c r="D41" s="60"/>
      <c r="E41" s="61">
        <v>7423.517</v>
      </c>
      <c r="F41" s="61">
        <v>260.161</v>
      </c>
      <c r="G41" s="61"/>
      <c r="H41" s="61">
        <v>25538.972</v>
      </c>
      <c r="I41" s="61">
        <v>582.672</v>
      </c>
      <c r="J41" s="61">
        <v>176.178</v>
      </c>
      <c r="K41" s="61"/>
      <c r="L41" s="61"/>
      <c r="M41" s="61"/>
      <c r="N41" s="61"/>
      <c r="O41" s="61"/>
      <c r="P41" s="61">
        <v>150.853</v>
      </c>
      <c r="Q41" s="61"/>
      <c r="R41" s="62"/>
      <c r="S41" s="62"/>
      <c r="T41" s="62"/>
      <c r="U41" s="61"/>
    </row>
    <row r="42" spans="1:21" ht="18.75">
      <c r="A42" s="365">
        <v>29</v>
      </c>
      <c r="B42" s="353" t="s">
        <v>272</v>
      </c>
      <c r="C42" s="60"/>
      <c r="D42" s="60"/>
      <c r="E42" s="61">
        <v>8425.611</v>
      </c>
      <c r="F42" s="61">
        <v>197.798</v>
      </c>
      <c r="G42" s="61"/>
      <c r="H42" s="61">
        <v>29913.789</v>
      </c>
      <c r="I42" s="61">
        <v>633.646</v>
      </c>
      <c r="J42" s="61">
        <v>313.983</v>
      </c>
      <c r="K42" s="61">
        <v>47.648</v>
      </c>
      <c r="L42" s="61"/>
      <c r="M42" s="61"/>
      <c r="N42" s="61"/>
      <c r="O42" s="61"/>
      <c r="P42" s="61"/>
      <c r="Q42" s="61"/>
      <c r="R42" s="62"/>
      <c r="S42" s="62"/>
      <c r="T42" s="62"/>
      <c r="U42" s="61"/>
    </row>
    <row r="43" spans="1:21" ht="18.75">
      <c r="A43" s="365">
        <v>30</v>
      </c>
      <c r="B43" s="353" t="s">
        <v>273</v>
      </c>
      <c r="C43" s="60"/>
      <c r="D43" s="60"/>
      <c r="E43" s="61">
        <v>11976.435</v>
      </c>
      <c r="F43" s="61">
        <v>130.137</v>
      </c>
      <c r="G43" s="61"/>
      <c r="H43" s="61">
        <v>29706.534</v>
      </c>
      <c r="I43" s="61">
        <v>440.155</v>
      </c>
      <c r="J43" s="61">
        <v>273.544</v>
      </c>
      <c r="K43" s="61">
        <v>66.243</v>
      </c>
      <c r="L43" s="61"/>
      <c r="M43" s="61"/>
      <c r="N43" s="61"/>
      <c r="O43" s="61"/>
      <c r="P43" s="61"/>
      <c r="Q43" s="61"/>
      <c r="R43" s="62"/>
      <c r="S43" s="62"/>
      <c r="T43" s="62"/>
      <c r="U43" s="61"/>
    </row>
    <row r="44" spans="1:21" ht="18.75">
      <c r="A44" s="366">
        <v>31</v>
      </c>
      <c r="B44" s="355" t="s">
        <v>274</v>
      </c>
      <c r="C44" s="78"/>
      <c r="D44" s="78"/>
      <c r="E44" s="79">
        <v>4098.916</v>
      </c>
      <c r="F44" s="79">
        <v>217.322</v>
      </c>
      <c r="G44" s="79"/>
      <c r="H44" s="61">
        <v>10156.312</v>
      </c>
      <c r="I44" s="79">
        <v>126.855</v>
      </c>
      <c r="J44" s="79">
        <v>267.875</v>
      </c>
      <c r="K44" s="79">
        <v>24.2</v>
      </c>
      <c r="L44" s="79"/>
      <c r="M44" s="79"/>
      <c r="N44" s="79"/>
      <c r="O44" s="79"/>
      <c r="P44" s="79"/>
      <c r="Q44" s="79"/>
      <c r="R44" s="80"/>
      <c r="S44" s="62"/>
      <c r="T44" s="62"/>
      <c r="U44" s="61"/>
    </row>
    <row r="45" spans="1:21" ht="21.75" customHeight="1">
      <c r="A45" s="63"/>
      <c r="B45" s="356" t="s">
        <v>438</v>
      </c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>
        <v>500</v>
      </c>
      <c r="R45" s="66"/>
      <c r="S45" s="66"/>
      <c r="T45" s="66"/>
      <c r="U45" s="66"/>
    </row>
    <row r="46" spans="1:21" ht="19.5">
      <c r="A46" s="81"/>
      <c r="B46" s="357" t="s">
        <v>332</v>
      </c>
      <c r="C46" s="82">
        <f aca="true" t="shared" si="0" ref="C46:Q46">SUM(C13:C45)</f>
        <v>0</v>
      </c>
      <c r="D46" s="82">
        <f t="shared" si="0"/>
        <v>0</v>
      </c>
      <c r="E46" s="82">
        <f t="shared" si="0"/>
        <v>371059</v>
      </c>
      <c r="F46" s="82">
        <f t="shared" si="0"/>
        <v>17257.699999999993</v>
      </c>
      <c r="G46" s="82">
        <f t="shared" si="0"/>
        <v>6970.6709999999985</v>
      </c>
      <c r="H46" s="82">
        <f t="shared" si="0"/>
        <v>1111468.6999999997</v>
      </c>
      <c r="I46" s="82">
        <f t="shared" si="0"/>
        <v>72662.29999999997</v>
      </c>
      <c r="J46" s="82">
        <f t="shared" si="0"/>
        <v>8537.8</v>
      </c>
      <c r="K46" s="82">
        <f t="shared" si="0"/>
        <v>1242.1</v>
      </c>
      <c r="L46" s="82">
        <f t="shared" si="0"/>
        <v>0</v>
      </c>
      <c r="M46" s="82">
        <f t="shared" si="0"/>
        <v>0</v>
      </c>
      <c r="N46" s="82">
        <f t="shared" si="0"/>
        <v>0</v>
      </c>
      <c r="O46" s="82">
        <f t="shared" si="0"/>
        <v>0</v>
      </c>
      <c r="P46" s="82">
        <f t="shared" si="0"/>
        <v>150.853</v>
      </c>
      <c r="Q46" s="82">
        <f t="shared" si="0"/>
        <v>500</v>
      </c>
      <c r="R46" s="82">
        <f>SUM(R13:R45)</f>
        <v>1599.5</v>
      </c>
      <c r="S46" s="82">
        <f>SUM(S13:S45)</f>
        <v>0</v>
      </c>
      <c r="T46" s="82">
        <f>SUM(T13:T45)</f>
        <v>0</v>
      </c>
      <c r="U46" s="82">
        <f>SUM(U13:U45)</f>
        <v>0</v>
      </c>
    </row>
    <row r="47" spans="1:21" ht="18" hidden="1" outlineLevel="1">
      <c r="A47" s="44"/>
      <c r="B47" s="44"/>
      <c r="C47" s="42">
        <f>+ГРК!C196</f>
        <v>31791</v>
      </c>
      <c r="D47" s="42">
        <f>+ГРК!C197</f>
        <v>0</v>
      </c>
      <c r="E47" s="42">
        <f>+ГРК!C200</f>
        <v>371059</v>
      </c>
      <c r="F47" s="42">
        <f>+ГРК!C202</f>
        <v>17257.7</v>
      </c>
      <c r="G47" s="42">
        <f>+ГРК!C218-P46-Q46</f>
        <v>6970.671</v>
      </c>
      <c r="H47" s="42">
        <f>+ГРК!C198</f>
        <v>1111468.7</v>
      </c>
      <c r="I47" s="42">
        <f>+ГРК!C201</f>
        <v>72662.3</v>
      </c>
      <c r="J47" s="42">
        <f>+ГРК!C204</f>
        <v>8537.8</v>
      </c>
      <c r="K47" s="42">
        <f>+ГРК!C216</f>
        <v>1242.1</v>
      </c>
      <c r="L47" s="42"/>
      <c r="M47" s="42"/>
      <c r="N47" s="42"/>
      <c r="O47" s="42"/>
      <c r="P47" s="42"/>
      <c r="Q47" s="42"/>
      <c r="R47" s="42">
        <f>+ГРК!C217</f>
        <v>1599.5</v>
      </c>
      <c r="S47" s="42">
        <f>+ГРК!F200</f>
        <v>0</v>
      </c>
      <c r="T47" s="42">
        <f>+ГРК!F214</f>
        <v>0</v>
      </c>
      <c r="U47" s="42">
        <f>+ГРК!F207</f>
        <v>0</v>
      </c>
    </row>
    <row r="48" spans="1:21" ht="18" hidden="1" outlineLevel="1">
      <c r="A48" s="44"/>
      <c r="B48" s="44"/>
      <c r="C48" s="42">
        <f aca="true" t="shared" si="1" ref="C48:K48">+C47-C46</f>
        <v>31791</v>
      </c>
      <c r="D48" s="42">
        <f t="shared" si="1"/>
        <v>0</v>
      </c>
      <c r="E48" s="42">
        <f t="shared" si="1"/>
        <v>0</v>
      </c>
      <c r="F48" s="42">
        <f t="shared" si="1"/>
        <v>0</v>
      </c>
      <c r="G48" s="42">
        <f t="shared" si="1"/>
        <v>0</v>
      </c>
      <c r="H48" s="42">
        <f t="shared" si="1"/>
        <v>0</v>
      </c>
      <c r="I48" s="42">
        <f t="shared" si="1"/>
        <v>0</v>
      </c>
      <c r="J48" s="42">
        <f t="shared" si="1"/>
        <v>0</v>
      </c>
      <c r="K48" s="42">
        <f t="shared" si="1"/>
        <v>0</v>
      </c>
      <c r="L48" s="42"/>
      <c r="M48" s="42"/>
      <c r="N48" s="42"/>
      <c r="O48" s="42"/>
      <c r="P48" s="42"/>
      <c r="Q48" s="42"/>
      <c r="R48" s="42">
        <f>+R47-R46</f>
        <v>0</v>
      </c>
      <c r="S48" s="42">
        <f>+S47-S46</f>
        <v>0</v>
      </c>
      <c r="T48" s="42">
        <f>+T47-T46</f>
        <v>0</v>
      </c>
      <c r="U48" s="42">
        <f>+U47-U46</f>
        <v>0</v>
      </c>
    </row>
    <row r="49" spans="1:21" ht="18" collapsed="1">
      <c r="A49" s="44"/>
      <c r="B49" s="4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20.25">
      <c r="A50" s="44"/>
      <c r="B50" s="43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9.5" customHeight="1">
      <c r="A51" s="72"/>
      <c r="B51" s="436" t="s">
        <v>277</v>
      </c>
      <c r="C51" s="42"/>
      <c r="D51" s="42"/>
      <c r="E51" s="98"/>
      <c r="F51" s="98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</row>
    <row r="52" spans="1:19" ht="18.75" customHeight="1">
      <c r="A52" s="72"/>
      <c r="B52" s="436" t="s">
        <v>234</v>
      </c>
      <c r="E52" s="98"/>
      <c r="F52" s="98"/>
      <c r="G52" s="42"/>
      <c r="H52" s="42"/>
      <c r="I52" s="42"/>
      <c r="J52" s="42"/>
      <c r="K52" s="42"/>
      <c r="L52" s="42"/>
      <c r="M52" s="42"/>
      <c r="N52" s="42"/>
      <c r="O52" s="42"/>
      <c r="S52" s="381"/>
    </row>
    <row r="53" spans="1:21" ht="21" customHeight="1">
      <c r="A53" s="70"/>
      <c r="B53" s="436" t="s">
        <v>540</v>
      </c>
      <c r="E53" s="98"/>
      <c r="F53" s="337"/>
      <c r="G53" s="42"/>
      <c r="H53" s="42"/>
      <c r="I53" s="42"/>
      <c r="J53" s="42"/>
      <c r="K53" s="42"/>
      <c r="L53" s="42"/>
      <c r="M53" s="42"/>
      <c r="N53" s="42"/>
      <c r="O53" s="42"/>
      <c r="P53" s="636" t="s">
        <v>539</v>
      </c>
      <c r="Q53" s="636"/>
      <c r="R53" s="636"/>
      <c r="S53" s="381"/>
      <c r="T53" s="637" t="s">
        <v>539</v>
      </c>
      <c r="U53" s="637"/>
    </row>
    <row r="54" ht="18">
      <c r="B54" s="292"/>
    </row>
  </sheetData>
  <sheetProtection/>
  <mergeCells count="28">
    <mergeCell ref="A8:A11"/>
    <mergeCell ref="K9:K11"/>
    <mergeCell ref="H9:H11"/>
    <mergeCell ref="B8:B11"/>
    <mergeCell ref="I9:I11"/>
    <mergeCell ref="F9:F11"/>
    <mergeCell ref="C8:C11"/>
    <mergeCell ref="D8:D11"/>
    <mergeCell ref="U9:U11"/>
    <mergeCell ref="T9:T11"/>
    <mergeCell ref="R9:R11"/>
    <mergeCell ref="F1:G1"/>
    <mergeCell ref="Q9:Q11"/>
    <mergeCell ref="N9:N10"/>
    <mergeCell ref="J9:J11"/>
    <mergeCell ref="S8:T8"/>
    <mergeCell ref="S9:S11"/>
    <mergeCell ref="P4:R4"/>
    <mergeCell ref="P53:R53"/>
    <mergeCell ref="T53:U53"/>
    <mergeCell ref="E6:L6"/>
    <mergeCell ref="E9:E11"/>
    <mergeCell ref="M9:M11"/>
    <mergeCell ref="L9:L11"/>
    <mergeCell ref="G9:G11"/>
    <mergeCell ref="E8:R8"/>
    <mergeCell ref="O9:O11"/>
    <mergeCell ref="P9:P11"/>
  </mergeCells>
  <printOptions horizontalCentered="1"/>
  <pageMargins left="0.11811023622047245" right="0.11811023622047245" top="0.1968503937007874" bottom="0.11811023622047245" header="0.1968503937007874" footer="0"/>
  <pageSetup firstPageNumber="22" useFirstPageNumber="1" horizontalDpi="300" verticalDpi="300" orientation="landscape" paperSize="9" scale="4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3" ySplit="12" topLeftCell="D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29" sqref="I29"/>
    </sheetView>
  </sheetViews>
  <sheetFormatPr defaultColWidth="9.00390625" defaultRowHeight="12.75" outlineLevelRow="1" outlineLevelCol="1"/>
  <cols>
    <col min="1" max="1" width="15.75390625" style="4" customWidth="1"/>
    <col min="2" max="2" width="5.625" style="2" customWidth="1" outlineLevel="1"/>
    <col min="3" max="3" width="29.625" style="4" customWidth="1"/>
    <col min="4" max="5" width="11.75390625" style="4" customWidth="1"/>
    <col min="6" max="6" width="10.00390625" style="4" customWidth="1"/>
    <col min="7" max="7" width="12.25390625" style="4" bestFit="1" customWidth="1"/>
    <col min="8" max="8" width="11.625" style="4" customWidth="1"/>
    <col min="9" max="9" width="13.00390625" style="4" customWidth="1"/>
    <col min="10" max="10" width="12.25390625" style="4" customWidth="1"/>
    <col min="11" max="11" width="12.875" style="4" bestFit="1" customWidth="1"/>
    <col min="12" max="12" width="12.25390625" style="4" customWidth="1"/>
    <col min="13" max="13" width="13.75390625" style="4" customWidth="1"/>
    <col min="14" max="14" width="12.125" style="4" customWidth="1"/>
    <col min="15" max="15" width="12.875" style="4" bestFit="1" customWidth="1"/>
    <col min="16" max="16" width="9.125" style="4" customWidth="1"/>
    <col min="17" max="17" width="10.25390625" style="4" bestFit="1" customWidth="1"/>
    <col min="18" max="16384" width="9.125" style="4" customWidth="1"/>
  </cols>
  <sheetData>
    <row r="1" spans="1:15" ht="14.25" customHeight="1">
      <c r="A1" s="1"/>
      <c r="D1" s="13"/>
      <c r="E1" s="13"/>
      <c r="F1" s="13"/>
      <c r="G1" s="13"/>
      <c r="H1" s="13"/>
      <c r="I1" s="13"/>
      <c r="J1" s="13"/>
      <c r="K1" s="675"/>
      <c r="L1" s="675"/>
      <c r="M1" s="91" t="s">
        <v>426</v>
      </c>
      <c r="N1" s="33"/>
      <c r="O1" s="33"/>
    </row>
    <row r="2" spans="1:15" ht="12.75" customHeight="1">
      <c r="A2" s="1"/>
      <c r="D2" s="13"/>
      <c r="E2" s="13"/>
      <c r="F2" s="13"/>
      <c r="G2" s="13"/>
      <c r="H2" s="13"/>
      <c r="I2" s="13"/>
      <c r="J2" s="13"/>
      <c r="K2" s="15"/>
      <c r="L2" s="15"/>
      <c r="M2" s="24" t="s">
        <v>275</v>
      </c>
      <c r="N2" s="33"/>
      <c r="O2" s="33"/>
    </row>
    <row r="3" spans="1:15" ht="15">
      <c r="A3" s="1"/>
      <c r="D3" s="7"/>
      <c r="E3" s="8"/>
      <c r="F3" s="8"/>
      <c r="G3" s="8"/>
      <c r="H3" s="8"/>
      <c r="I3" s="7"/>
      <c r="J3" s="7"/>
      <c r="K3"/>
      <c r="L3" s="15"/>
      <c r="M3" s="92" t="s">
        <v>540</v>
      </c>
      <c r="N3" s="33"/>
      <c r="O3" s="33"/>
    </row>
    <row r="4" spans="1:16" ht="15" customHeight="1">
      <c r="A4" s="1"/>
      <c r="D4" s="377"/>
      <c r="E4" s="8"/>
      <c r="F4" s="8"/>
      <c r="G4" s="8"/>
      <c r="H4" s="8"/>
      <c r="I4" s="7"/>
      <c r="J4" s="7"/>
      <c r="K4"/>
      <c r="L4" s="91"/>
      <c r="M4" s="601" t="s">
        <v>247</v>
      </c>
      <c r="N4" s="601"/>
      <c r="O4" s="601"/>
      <c r="P4" s="23"/>
    </row>
    <row r="5" spans="1:7" ht="12.75">
      <c r="A5" s="1"/>
      <c r="C5" s="676"/>
      <c r="D5" s="676"/>
      <c r="E5" s="676"/>
      <c r="F5" s="47"/>
      <c r="G5" s="47"/>
    </row>
    <row r="6" spans="1:15" ht="18">
      <c r="A6" s="677" t="s">
        <v>371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</row>
    <row r="7" spans="1:15" ht="12.75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5:15" ht="12.75">
      <c r="E8" s="9"/>
      <c r="F8" s="9"/>
      <c r="G8" s="9"/>
      <c r="H8" s="9"/>
      <c r="I8" s="9"/>
      <c r="J8" s="9"/>
      <c r="O8" s="9" t="s">
        <v>353</v>
      </c>
    </row>
    <row r="9" spans="1:15" s="192" customFormat="1" ht="74.25" customHeight="1">
      <c r="A9" s="367" t="s">
        <v>600</v>
      </c>
      <c r="B9" s="668" t="s">
        <v>542</v>
      </c>
      <c r="C9" s="364" t="s">
        <v>586</v>
      </c>
      <c r="D9" s="671" t="s">
        <v>67</v>
      </c>
      <c r="E9" s="672"/>
      <c r="F9" s="672"/>
      <c r="G9" s="673"/>
      <c r="H9" s="662" t="s">
        <v>68</v>
      </c>
      <c r="I9" s="662"/>
      <c r="J9" s="662"/>
      <c r="K9" s="662"/>
      <c r="L9" s="662" t="s">
        <v>69</v>
      </c>
      <c r="M9" s="662"/>
      <c r="N9" s="662"/>
      <c r="O9" s="662"/>
    </row>
    <row r="10" spans="1:15" s="192" customFormat="1" ht="14.25" customHeight="1">
      <c r="A10" s="626" t="s">
        <v>580</v>
      </c>
      <c r="B10" s="669"/>
      <c r="C10" s="674" t="s">
        <v>579</v>
      </c>
      <c r="D10" s="663" t="s">
        <v>70</v>
      </c>
      <c r="E10" s="665" t="s">
        <v>71</v>
      </c>
      <c r="F10" s="666"/>
      <c r="G10" s="667" t="s">
        <v>72</v>
      </c>
      <c r="H10" s="660" t="s">
        <v>70</v>
      </c>
      <c r="I10" s="665" t="s">
        <v>71</v>
      </c>
      <c r="J10" s="666"/>
      <c r="K10" s="660" t="s">
        <v>72</v>
      </c>
      <c r="L10" s="660" t="s">
        <v>70</v>
      </c>
      <c r="M10" s="665" t="s">
        <v>71</v>
      </c>
      <c r="N10" s="666"/>
      <c r="O10" s="660" t="s">
        <v>72</v>
      </c>
    </row>
    <row r="11" spans="1:15" s="192" customFormat="1" ht="74.25" customHeight="1">
      <c r="A11" s="627"/>
      <c r="B11" s="670"/>
      <c r="C11" s="674"/>
      <c r="D11" s="664"/>
      <c r="E11" s="46" t="s">
        <v>73</v>
      </c>
      <c r="F11" s="48" t="s">
        <v>117</v>
      </c>
      <c r="G11" s="667"/>
      <c r="H11" s="661"/>
      <c r="I11" s="46" t="s">
        <v>73</v>
      </c>
      <c r="J11" s="48" t="s">
        <v>117</v>
      </c>
      <c r="K11" s="661"/>
      <c r="L11" s="661"/>
      <c r="M11" s="46" t="s">
        <v>73</v>
      </c>
      <c r="N11" s="48" t="s">
        <v>117</v>
      </c>
      <c r="O11" s="661"/>
    </row>
    <row r="12" spans="1:15" ht="12.75">
      <c r="A12" s="50">
        <v>1</v>
      </c>
      <c r="B12" s="50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</row>
    <row r="13" spans="1:20" ht="52.5" customHeight="1">
      <c r="A13" s="200" t="s">
        <v>507</v>
      </c>
      <c r="B13" s="124"/>
      <c r="C13" s="183" t="s">
        <v>227</v>
      </c>
      <c r="D13" s="130">
        <f>+D14+D18+D20+D22</f>
        <v>0</v>
      </c>
      <c r="E13" s="125">
        <f aca="true" t="shared" si="0" ref="E13:O13">+E14+E18+E20+E22</f>
        <v>3940</v>
      </c>
      <c r="F13" s="125">
        <f t="shared" si="0"/>
        <v>0</v>
      </c>
      <c r="G13" s="126">
        <f t="shared" si="0"/>
        <v>3940</v>
      </c>
      <c r="H13" s="130">
        <f t="shared" si="0"/>
        <v>0</v>
      </c>
      <c r="I13" s="125">
        <f t="shared" si="0"/>
        <v>0</v>
      </c>
      <c r="J13" s="125">
        <f t="shared" si="0"/>
        <v>0</v>
      </c>
      <c r="K13" s="126">
        <f t="shared" si="0"/>
        <v>0</v>
      </c>
      <c r="L13" s="130">
        <f t="shared" si="0"/>
        <v>0</v>
      </c>
      <c r="M13" s="125">
        <f t="shared" si="0"/>
        <v>3940</v>
      </c>
      <c r="N13" s="125">
        <f t="shared" si="0"/>
        <v>0</v>
      </c>
      <c r="O13" s="126">
        <f t="shared" si="0"/>
        <v>3940</v>
      </c>
      <c r="P13" s="103"/>
      <c r="R13" s="103"/>
      <c r="S13" s="103"/>
      <c r="T13" s="103"/>
    </row>
    <row r="14" spans="1:15" ht="73.5" customHeight="1">
      <c r="A14" s="189">
        <v>250908</v>
      </c>
      <c r="B14" s="51"/>
      <c r="C14" s="184" t="s">
        <v>179</v>
      </c>
      <c r="D14" s="131">
        <f>+D15+D16</f>
        <v>0</v>
      </c>
      <c r="E14" s="118">
        <f>+E15+E16</f>
        <v>940</v>
      </c>
      <c r="F14" s="118">
        <f>+F15+F16</f>
        <v>0</v>
      </c>
      <c r="G14" s="56">
        <f>+E14+D14</f>
        <v>940</v>
      </c>
      <c r="H14" s="131">
        <f>+H15+H16</f>
        <v>0</v>
      </c>
      <c r="I14" s="118">
        <f>+I15+I16</f>
        <v>0</v>
      </c>
      <c r="J14" s="118">
        <f>+J15+J16</f>
        <v>0</v>
      </c>
      <c r="K14" s="56">
        <f>+I14+H14</f>
        <v>0</v>
      </c>
      <c r="L14" s="131">
        <f aca="true" t="shared" si="1" ref="L14:N17">+D14+H14</f>
        <v>0</v>
      </c>
      <c r="M14" s="118">
        <f t="shared" si="1"/>
        <v>940</v>
      </c>
      <c r="N14" s="118">
        <f t="shared" si="1"/>
        <v>0</v>
      </c>
      <c r="O14" s="56">
        <f>+M14+L14</f>
        <v>940</v>
      </c>
    </row>
    <row r="15" spans="1:17" ht="25.5">
      <c r="A15" s="189"/>
      <c r="B15" s="51">
        <v>4113</v>
      </c>
      <c r="C15" s="185" t="s">
        <v>18</v>
      </c>
      <c r="D15" s="54"/>
      <c r="E15" s="52">
        <v>940</v>
      </c>
      <c r="F15" s="52"/>
      <c r="G15" s="53">
        <f>+E15+D15</f>
        <v>940</v>
      </c>
      <c r="H15" s="54"/>
      <c r="I15" s="52"/>
      <c r="J15" s="52"/>
      <c r="K15" s="53">
        <f>+I15+H15</f>
        <v>0</v>
      </c>
      <c r="L15" s="54">
        <f t="shared" si="1"/>
        <v>0</v>
      </c>
      <c r="M15" s="52">
        <f t="shared" si="1"/>
        <v>940</v>
      </c>
      <c r="N15" s="52">
        <f t="shared" si="1"/>
        <v>0</v>
      </c>
      <c r="O15" s="53">
        <f>+M15+L15</f>
        <v>940</v>
      </c>
      <c r="Q15" s="10"/>
    </row>
    <row r="16" spans="1:15" ht="51" hidden="1" outlineLevel="1">
      <c r="A16" s="189"/>
      <c r="B16" s="51">
        <v>1172</v>
      </c>
      <c r="C16" s="185" t="s">
        <v>81</v>
      </c>
      <c r="D16" s="54"/>
      <c r="E16" s="52"/>
      <c r="F16" s="52"/>
      <c r="G16" s="53">
        <f aca="true" t="shared" si="2" ref="G16:G21">+E16+D16</f>
        <v>0</v>
      </c>
      <c r="H16" s="54"/>
      <c r="I16" s="52"/>
      <c r="J16" s="52"/>
      <c r="K16" s="53">
        <f aca="true" t="shared" si="3" ref="K16:K21">+I16+H16</f>
        <v>0</v>
      </c>
      <c r="L16" s="54">
        <f t="shared" si="1"/>
        <v>0</v>
      </c>
      <c r="M16" s="52">
        <f t="shared" si="1"/>
        <v>0</v>
      </c>
      <c r="N16" s="52">
        <f t="shared" si="1"/>
        <v>0</v>
      </c>
      <c r="O16" s="53">
        <f aca="true" t="shared" si="4" ref="O16:O21">+M16+L16</f>
        <v>0</v>
      </c>
    </row>
    <row r="17" spans="1:15" ht="51" hidden="1" outlineLevel="1">
      <c r="A17" s="189"/>
      <c r="B17" s="51">
        <v>1172</v>
      </c>
      <c r="C17" s="185" t="s">
        <v>81</v>
      </c>
      <c r="D17" s="54"/>
      <c r="E17" s="52"/>
      <c r="F17" s="52"/>
      <c r="G17" s="53">
        <f t="shared" si="2"/>
        <v>0</v>
      </c>
      <c r="H17" s="54"/>
      <c r="I17" s="52"/>
      <c r="J17" s="52"/>
      <c r="K17" s="53">
        <f t="shared" si="3"/>
        <v>0</v>
      </c>
      <c r="L17" s="54">
        <f t="shared" si="1"/>
        <v>0</v>
      </c>
      <c r="M17" s="52">
        <f t="shared" si="1"/>
        <v>0</v>
      </c>
      <c r="N17" s="52">
        <f t="shared" si="1"/>
        <v>0</v>
      </c>
      <c r="O17" s="53">
        <f t="shared" si="4"/>
        <v>0</v>
      </c>
    </row>
    <row r="18" spans="1:15" ht="58.5" customHeight="1" collapsed="1">
      <c r="A18" s="189">
        <v>250911</v>
      </c>
      <c r="B18" s="51"/>
      <c r="C18" s="184" t="s">
        <v>183</v>
      </c>
      <c r="D18" s="131">
        <f>+D19</f>
        <v>0</v>
      </c>
      <c r="E18" s="118">
        <f>+E19</f>
        <v>3000</v>
      </c>
      <c r="F18" s="118">
        <f>+F19</f>
        <v>0</v>
      </c>
      <c r="G18" s="53">
        <f t="shared" si="2"/>
        <v>3000</v>
      </c>
      <c r="H18" s="131">
        <f>+H19</f>
        <v>0</v>
      </c>
      <c r="I18" s="118">
        <f>+I19</f>
        <v>0</v>
      </c>
      <c r="J18" s="118">
        <f>+J19</f>
        <v>0</v>
      </c>
      <c r="K18" s="53">
        <f t="shared" si="3"/>
        <v>0</v>
      </c>
      <c r="L18" s="131">
        <f>+L19</f>
        <v>0</v>
      </c>
      <c r="M18" s="118">
        <f>+M19</f>
        <v>3000</v>
      </c>
      <c r="N18" s="118">
        <f>+N19</f>
        <v>0</v>
      </c>
      <c r="O18" s="56">
        <f t="shared" si="4"/>
        <v>3000</v>
      </c>
    </row>
    <row r="19" spans="1:15" ht="30" customHeight="1">
      <c r="A19" s="189"/>
      <c r="B19" s="51">
        <v>4113</v>
      </c>
      <c r="C19" s="185" t="s">
        <v>18</v>
      </c>
      <c r="D19" s="54"/>
      <c r="E19" s="52">
        <v>3000</v>
      </c>
      <c r="F19" s="52"/>
      <c r="G19" s="53">
        <f>+E19+D19</f>
        <v>3000</v>
      </c>
      <c r="H19" s="54"/>
      <c r="I19" s="52"/>
      <c r="J19" s="52"/>
      <c r="K19" s="53">
        <f>+I19+H19</f>
        <v>0</v>
      </c>
      <c r="L19" s="54">
        <f>+D19+H19</f>
        <v>0</v>
      </c>
      <c r="M19" s="52">
        <f>+E19+I19</f>
        <v>3000</v>
      </c>
      <c r="N19" s="52">
        <f>+F19+J19</f>
        <v>0</v>
      </c>
      <c r="O19" s="53">
        <f>+M19+L19</f>
        <v>3000</v>
      </c>
    </row>
    <row r="20" spans="1:15" ht="94.5" customHeight="1" hidden="1" outlineLevel="1">
      <c r="A20" s="189">
        <v>250913</v>
      </c>
      <c r="B20" s="51"/>
      <c r="C20" s="184" t="s">
        <v>188</v>
      </c>
      <c r="D20" s="131">
        <f>+D21</f>
        <v>0</v>
      </c>
      <c r="E20" s="118">
        <f>+E21</f>
        <v>0</v>
      </c>
      <c r="F20" s="118">
        <f>+F21</f>
        <v>0</v>
      </c>
      <c r="G20" s="53">
        <f>+E20+D20</f>
        <v>0</v>
      </c>
      <c r="H20" s="131">
        <f>+H21</f>
        <v>0</v>
      </c>
      <c r="I20" s="118">
        <f>+I21</f>
        <v>0</v>
      </c>
      <c r="J20" s="118">
        <f>+J21</f>
        <v>0</v>
      </c>
      <c r="K20" s="53">
        <f>+I20+H20</f>
        <v>0</v>
      </c>
      <c r="L20" s="131">
        <f>+L21</f>
        <v>0</v>
      </c>
      <c r="M20" s="118">
        <f>+M21</f>
        <v>0</v>
      </c>
      <c r="N20" s="118">
        <f>+N21</f>
        <v>0</v>
      </c>
      <c r="O20" s="53">
        <f>+M20+L20</f>
        <v>0</v>
      </c>
    </row>
    <row r="21" spans="1:15" ht="57" customHeight="1" hidden="1" outlineLevel="1">
      <c r="A21" s="189"/>
      <c r="B21" s="51">
        <v>1172</v>
      </c>
      <c r="C21" s="185" t="s">
        <v>81</v>
      </c>
      <c r="D21" s="54"/>
      <c r="E21" s="52"/>
      <c r="F21" s="52"/>
      <c r="G21" s="53">
        <f t="shared" si="2"/>
        <v>0</v>
      </c>
      <c r="H21" s="54"/>
      <c r="I21" s="52"/>
      <c r="J21" s="52"/>
      <c r="K21" s="53">
        <f t="shared" si="3"/>
        <v>0</v>
      </c>
      <c r="L21" s="54">
        <f>+D21+H21</f>
        <v>0</v>
      </c>
      <c r="M21" s="52">
        <f>+E21+I21</f>
        <v>0</v>
      </c>
      <c r="N21" s="52">
        <f>+F21+J21</f>
        <v>0</v>
      </c>
      <c r="O21" s="53">
        <f t="shared" si="4"/>
        <v>0</v>
      </c>
    </row>
    <row r="22" spans="1:15" ht="81.75" customHeight="1" hidden="1" outlineLevel="1">
      <c r="A22" s="189">
        <v>250914</v>
      </c>
      <c r="B22" s="51"/>
      <c r="C22" s="184" t="s">
        <v>408</v>
      </c>
      <c r="D22" s="131">
        <f>+D23</f>
        <v>0</v>
      </c>
      <c r="E22" s="118">
        <f>+E23</f>
        <v>0</v>
      </c>
      <c r="F22" s="118">
        <f>+F23</f>
        <v>0</v>
      </c>
      <c r="G22" s="53">
        <f aca="true" t="shared" si="5" ref="G22:G31">+E22+D22</f>
        <v>0</v>
      </c>
      <c r="H22" s="131">
        <f>+H23</f>
        <v>0</v>
      </c>
      <c r="I22" s="118">
        <f>+I23</f>
        <v>0</v>
      </c>
      <c r="J22" s="118">
        <f>+J23</f>
        <v>0</v>
      </c>
      <c r="K22" s="53">
        <f aca="true" t="shared" si="6" ref="K22:K31">+I22+H22</f>
        <v>0</v>
      </c>
      <c r="L22" s="131">
        <f>+L23</f>
        <v>0</v>
      </c>
      <c r="M22" s="118">
        <f>+M23</f>
        <v>0</v>
      </c>
      <c r="N22" s="118">
        <f>+N23</f>
        <v>0</v>
      </c>
      <c r="O22" s="53">
        <f aca="true" t="shared" si="7" ref="O22:O31">+M22+L22</f>
        <v>0</v>
      </c>
    </row>
    <row r="23" spans="1:15" ht="54" customHeight="1" hidden="1" outlineLevel="1">
      <c r="A23" s="189"/>
      <c r="B23" s="51">
        <v>1172</v>
      </c>
      <c r="C23" s="185" t="s">
        <v>81</v>
      </c>
      <c r="D23" s="54"/>
      <c r="E23" s="52"/>
      <c r="F23" s="52"/>
      <c r="G23" s="53">
        <f t="shared" si="5"/>
        <v>0</v>
      </c>
      <c r="H23" s="54"/>
      <c r="I23" s="52"/>
      <c r="J23" s="52"/>
      <c r="K23" s="53">
        <f t="shared" si="6"/>
        <v>0</v>
      </c>
      <c r="L23" s="54">
        <f>+D23+H23</f>
        <v>0</v>
      </c>
      <c r="M23" s="52">
        <f>+E23+I23</f>
        <v>0</v>
      </c>
      <c r="N23" s="52">
        <f>+F23+J23</f>
        <v>0</v>
      </c>
      <c r="O23" s="53">
        <f t="shared" si="7"/>
        <v>0</v>
      </c>
    </row>
    <row r="24" spans="1:15" ht="54" customHeight="1" collapsed="1">
      <c r="A24" s="197" t="s">
        <v>557</v>
      </c>
      <c r="B24" s="51"/>
      <c r="C24" s="186" t="s">
        <v>133</v>
      </c>
      <c r="D24" s="121">
        <f>+D25</f>
        <v>0</v>
      </c>
      <c r="E24" s="122">
        <f aca="true" t="shared" si="8" ref="E24:O24">+E25</f>
        <v>1500</v>
      </c>
      <c r="F24" s="122">
        <f t="shared" si="8"/>
        <v>0</v>
      </c>
      <c r="G24" s="120">
        <f t="shared" si="8"/>
        <v>1500</v>
      </c>
      <c r="H24" s="121">
        <f t="shared" si="8"/>
        <v>0</v>
      </c>
      <c r="I24" s="122">
        <f t="shared" si="8"/>
        <v>0</v>
      </c>
      <c r="J24" s="122">
        <f t="shared" si="8"/>
        <v>0</v>
      </c>
      <c r="K24" s="120">
        <f t="shared" si="8"/>
        <v>0</v>
      </c>
      <c r="L24" s="121">
        <f t="shared" si="8"/>
        <v>0</v>
      </c>
      <c r="M24" s="122">
        <f t="shared" si="8"/>
        <v>1500</v>
      </c>
      <c r="N24" s="122">
        <f t="shared" si="8"/>
        <v>0</v>
      </c>
      <c r="O24" s="120">
        <f t="shared" si="8"/>
        <v>1500</v>
      </c>
    </row>
    <row r="25" spans="1:15" ht="66.75" customHeight="1">
      <c r="A25" s="189">
        <v>250908</v>
      </c>
      <c r="B25" s="51"/>
      <c r="C25" s="184" t="s">
        <v>179</v>
      </c>
      <c r="D25" s="131">
        <f>+D26</f>
        <v>0</v>
      </c>
      <c r="E25" s="118">
        <f>+E26</f>
        <v>1500</v>
      </c>
      <c r="F25" s="118">
        <f>+F26</f>
        <v>0</v>
      </c>
      <c r="G25" s="53">
        <f t="shared" si="5"/>
        <v>1500</v>
      </c>
      <c r="H25" s="131">
        <f>+H26</f>
        <v>0</v>
      </c>
      <c r="I25" s="118">
        <f>+I26</f>
        <v>0</v>
      </c>
      <c r="J25" s="118">
        <f>+J26</f>
        <v>0</v>
      </c>
      <c r="K25" s="53">
        <f t="shared" si="6"/>
        <v>0</v>
      </c>
      <c r="L25" s="131">
        <f>+L26</f>
        <v>0</v>
      </c>
      <c r="M25" s="118">
        <f>+M26</f>
        <v>1500</v>
      </c>
      <c r="N25" s="118">
        <f>+N26</f>
        <v>0</v>
      </c>
      <c r="O25" s="56">
        <f t="shared" si="7"/>
        <v>1500</v>
      </c>
    </row>
    <row r="26" spans="1:15" ht="28.5" customHeight="1">
      <c r="A26" s="189"/>
      <c r="B26" s="51">
        <v>4113</v>
      </c>
      <c r="C26" s="185" t="s">
        <v>18</v>
      </c>
      <c r="D26" s="54"/>
      <c r="E26" s="52">
        <v>1500</v>
      </c>
      <c r="F26" s="52"/>
      <c r="G26" s="53">
        <f>+E26+D26</f>
        <v>1500</v>
      </c>
      <c r="H26" s="54"/>
      <c r="I26" s="52"/>
      <c r="J26" s="52"/>
      <c r="K26" s="53">
        <f>+I26+H26</f>
        <v>0</v>
      </c>
      <c r="L26" s="54">
        <f>+D26+H26</f>
        <v>0</v>
      </c>
      <c r="M26" s="52">
        <f>+E26+I26</f>
        <v>1500</v>
      </c>
      <c r="N26" s="52">
        <f>+F26+J26</f>
        <v>0</v>
      </c>
      <c r="O26" s="53">
        <f>+M26+L26</f>
        <v>1500</v>
      </c>
    </row>
    <row r="27" spans="1:17" s="123" customFormat="1" ht="38.25">
      <c r="A27" s="197" t="s">
        <v>514</v>
      </c>
      <c r="B27" s="119"/>
      <c r="C27" s="186" t="s">
        <v>228</v>
      </c>
      <c r="D27" s="121">
        <f>+D28+D30+D32</f>
        <v>0</v>
      </c>
      <c r="E27" s="122">
        <f aca="true" t="shared" si="9" ref="E27:O27">+E28+E30+E32</f>
        <v>0</v>
      </c>
      <c r="F27" s="122">
        <f t="shared" si="9"/>
        <v>0</v>
      </c>
      <c r="G27" s="120">
        <f t="shared" si="9"/>
        <v>0</v>
      </c>
      <c r="H27" s="121">
        <f t="shared" si="9"/>
        <v>0</v>
      </c>
      <c r="I27" s="122">
        <f t="shared" si="9"/>
        <v>-12791.518</v>
      </c>
      <c r="J27" s="122">
        <f t="shared" si="9"/>
        <v>-6600</v>
      </c>
      <c r="K27" s="120">
        <f t="shared" si="9"/>
        <v>-12791.518</v>
      </c>
      <c r="L27" s="121">
        <f t="shared" si="9"/>
        <v>0</v>
      </c>
      <c r="M27" s="122">
        <f t="shared" si="9"/>
        <v>-12791.518</v>
      </c>
      <c r="N27" s="122">
        <f t="shared" si="9"/>
        <v>-6600</v>
      </c>
      <c r="O27" s="120">
        <f t="shared" si="9"/>
        <v>-12791.518</v>
      </c>
      <c r="Q27" s="4"/>
    </row>
    <row r="28" spans="1:15" ht="66.75" customHeight="1">
      <c r="A28" s="189">
        <v>250909</v>
      </c>
      <c r="B28" s="55"/>
      <c r="C28" s="184" t="s">
        <v>181</v>
      </c>
      <c r="D28" s="131">
        <f>+D29</f>
        <v>0</v>
      </c>
      <c r="E28" s="118">
        <f>+E29</f>
        <v>0</v>
      </c>
      <c r="F28" s="118">
        <f>+F29</f>
        <v>0</v>
      </c>
      <c r="G28" s="56">
        <f t="shared" si="5"/>
        <v>0</v>
      </c>
      <c r="H28" s="131">
        <f>+H29</f>
        <v>0</v>
      </c>
      <c r="I28" s="118">
        <f>+I29</f>
        <v>-2900</v>
      </c>
      <c r="J28" s="118">
        <f>+J29</f>
        <v>0</v>
      </c>
      <c r="K28" s="56">
        <f t="shared" si="6"/>
        <v>-2900</v>
      </c>
      <c r="L28" s="131">
        <f>+L29</f>
        <v>0</v>
      </c>
      <c r="M28" s="118">
        <f>+M29</f>
        <v>-2900</v>
      </c>
      <c r="N28" s="118">
        <f>+N29</f>
        <v>0</v>
      </c>
      <c r="O28" s="56">
        <f t="shared" si="7"/>
        <v>-2900</v>
      </c>
    </row>
    <row r="29" spans="1:15" ht="25.5">
      <c r="A29" s="189"/>
      <c r="B29" s="51">
        <v>4123</v>
      </c>
      <c r="C29" s="185" t="s">
        <v>333</v>
      </c>
      <c r="D29" s="54"/>
      <c r="E29" s="52"/>
      <c r="F29" s="52"/>
      <c r="G29" s="53">
        <f t="shared" si="5"/>
        <v>0</v>
      </c>
      <c r="H29" s="54"/>
      <c r="I29" s="52">
        <f>-350-1000-1500-50</f>
        <v>-2900</v>
      </c>
      <c r="J29" s="52"/>
      <c r="K29" s="53">
        <f t="shared" si="6"/>
        <v>-2900</v>
      </c>
      <c r="L29" s="54">
        <f>+D29+H29</f>
        <v>0</v>
      </c>
      <c r="M29" s="52">
        <f>+E29+I29</f>
        <v>-2900</v>
      </c>
      <c r="N29" s="52">
        <f>+F29+J29</f>
        <v>0</v>
      </c>
      <c r="O29" s="53">
        <f t="shared" si="7"/>
        <v>-2900</v>
      </c>
    </row>
    <row r="30" spans="1:15" ht="58.5" customHeight="1">
      <c r="A30" s="189">
        <v>250912</v>
      </c>
      <c r="B30" s="51"/>
      <c r="C30" s="184" t="s">
        <v>186</v>
      </c>
      <c r="D30" s="131">
        <f>+D31</f>
        <v>0</v>
      </c>
      <c r="E30" s="118">
        <f>+E31</f>
        <v>0</v>
      </c>
      <c r="F30" s="118">
        <f>+F31</f>
        <v>0</v>
      </c>
      <c r="G30" s="53">
        <f t="shared" si="5"/>
        <v>0</v>
      </c>
      <c r="H30" s="131">
        <f>+H31</f>
        <v>0</v>
      </c>
      <c r="I30" s="118">
        <f>+I31</f>
        <v>-3000</v>
      </c>
      <c r="J30" s="118">
        <f>+J31</f>
        <v>0</v>
      </c>
      <c r="K30" s="53">
        <f t="shared" si="6"/>
        <v>-3000</v>
      </c>
      <c r="L30" s="131">
        <f>+L31</f>
        <v>0</v>
      </c>
      <c r="M30" s="118">
        <f>+M31</f>
        <v>-3000</v>
      </c>
      <c r="N30" s="118">
        <f>+N31</f>
        <v>0</v>
      </c>
      <c r="O30" s="56">
        <f t="shared" si="7"/>
        <v>-3000</v>
      </c>
    </row>
    <row r="31" spans="1:15" ht="28.5" customHeight="1">
      <c r="A31" s="189"/>
      <c r="B31" s="51">
        <v>4123</v>
      </c>
      <c r="C31" s="185" t="s">
        <v>333</v>
      </c>
      <c r="D31" s="54"/>
      <c r="E31" s="52"/>
      <c r="F31" s="52"/>
      <c r="G31" s="53">
        <f t="shared" si="5"/>
        <v>0</v>
      </c>
      <c r="H31" s="54"/>
      <c r="I31" s="52">
        <v>-3000</v>
      </c>
      <c r="J31" s="52"/>
      <c r="K31" s="53">
        <f t="shared" si="6"/>
        <v>-3000</v>
      </c>
      <c r="L31" s="54">
        <f>+D31+H31</f>
        <v>0</v>
      </c>
      <c r="M31" s="52">
        <f>+E31+I31</f>
        <v>-3000</v>
      </c>
      <c r="N31" s="52">
        <f>+F31+J31</f>
        <v>0</v>
      </c>
      <c r="O31" s="53">
        <f t="shared" si="7"/>
        <v>-3000</v>
      </c>
    </row>
    <row r="32" spans="1:15" ht="28.5" customHeight="1">
      <c r="A32" s="189">
        <v>250904</v>
      </c>
      <c r="B32" s="51"/>
      <c r="C32" s="184" t="s">
        <v>333</v>
      </c>
      <c r="D32" s="131">
        <f>+D33</f>
        <v>0</v>
      </c>
      <c r="E32" s="118">
        <f>+E33</f>
        <v>0</v>
      </c>
      <c r="F32" s="118">
        <f>+F33</f>
        <v>0</v>
      </c>
      <c r="G32" s="53">
        <f>+E32+D32</f>
        <v>0</v>
      </c>
      <c r="H32" s="131">
        <f>+H33</f>
        <v>0</v>
      </c>
      <c r="I32" s="118">
        <f>+I33</f>
        <v>-6891.518</v>
      </c>
      <c r="J32" s="118">
        <f>+J33</f>
        <v>-6600</v>
      </c>
      <c r="K32" s="53">
        <f>+I32+H32</f>
        <v>-6891.518</v>
      </c>
      <c r="L32" s="131">
        <f>+L33</f>
        <v>0</v>
      </c>
      <c r="M32" s="118">
        <f>+M33</f>
        <v>-6891.518</v>
      </c>
      <c r="N32" s="118">
        <f>+N33</f>
        <v>-6600</v>
      </c>
      <c r="O32" s="56">
        <f>+M32+L32</f>
        <v>-6891.518</v>
      </c>
    </row>
    <row r="33" spans="1:15" ht="28.5" customHeight="1">
      <c r="A33" s="189"/>
      <c r="B33" s="51">
        <v>4123</v>
      </c>
      <c r="C33" s="185" t="s">
        <v>333</v>
      </c>
      <c r="D33" s="54"/>
      <c r="E33" s="52"/>
      <c r="F33" s="52"/>
      <c r="G33" s="53">
        <f>+E33+D33</f>
        <v>0</v>
      </c>
      <c r="H33" s="54"/>
      <c r="I33" s="52">
        <f>-6600-291.518</f>
        <v>-6891.518</v>
      </c>
      <c r="J33" s="52">
        <v>-6600</v>
      </c>
      <c r="K33" s="53">
        <f>+I33+H33</f>
        <v>-6891.518</v>
      </c>
      <c r="L33" s="54">
        <f>+D33+H33</f>
        <v>0</v>
      </c>
      <c r="M33" s="52">
        <f>+E33+I33</f>
        <v>-6891.518</v>
      </c>
      <c r="N33" s="52">
        <f>+F33+J33</f>
        <v>-6600</v>
      </c>
      <c r="O33" s="53">
        <f>+M33+L33</f>
        <v>-6891.518</v>
      </c>
    </row>
    <row r="34" spans="1:17" ht="31.5" customHeight="1">
      <c r="A34" s="197" t="s">
        <v>434</v>
      </c>
      <c r="B34" s="119"/>
      <c r="C34" s="186" t="s">
        <v>610</v>
      </c>
      <c r="D34" s="121">
        <f>+D35+D37</f>
        <v>0</v>
      </c>
      <c r="E34" s="122">
        <f aca="true" t="shared" si="10" ref="E34:O34">+E35+E37</f>
        <v>329</v>
      </c>
      <c r="F34" s="122">
        <f t="shared" si="10"/>
        <v>0</v>
      </c>
      <c r="G34" s="120">
        <f t="shared" si="10"/>
        <v>329</v>
      </c>
      <c r="H34" s="121">
        <f t="shared" si="10"/>
        <v>0</v>
      </c>
      <c r="I34" s="122">
        <f t="shared" si="10"/>
        <v>0</v>
      </c>
      <c r="J34" s="122">
        <f t="shared" si="10"/>
        <v>0</v>
      </c>
      <c r="K34" s="120">
        <f t="shared" si="10"/>
        <v>0</v>
      </c>
      <c r="L34" s="121">
        <f t="shared" si="10"/>
        <v>0</v>
      </c>
      <c r="M34" s="122">
        <f t="shared" si="10"/>
        <v>329</v>
      </c>
      <c r="N34" s="122">
        <f t="shared" si="10"/>
        <v>0</v>
      </c>
      <c r="O34" s="120">
        <f t="shared" si="10"/>
        <v>329</v>
      </c>
      <c r="P34" s="123"/>
      <c r="Q34" s="123"/>
    </row>
    <row r="35" spans="1:15" ht="66" customHeight="1">
      <c r="A35" s="189">
        <v>250908</v>
      </c>
      <c r="B35" s="51"/>
      <c r="C35" s="184" t="s">
        <v>179</v>
      </c>
      <c r="D35" s="131">
        <f>+D36</f>
        <v>0</v>
      </c>
      <c r="E35" s="118">
        <f aca="true" t="shared" si="11" ref="E35:O35">+E36</f>
        <v>329</v>
      </c>
      <c r="F35" s="118">
        <f t="shared" si="11"/>
        <v>0</v>
      </c>
      <c r="G35" s="56">
        <f t="shared" si="11"/>
        <v>329</v>
      </c>
      <c r="H35" s="131">
        <f t="shared" si="11"/>
        <v>0</v>
      </c>
      <c r="I35" s="118">
        <f t="shared" si="11"/>
        <v>0</v>
      </c>
      <c r="J35" s="118">
        <f t="shared" si="11"/>
        <v>0</v>
      </c>
      <c r="K35" s="56">
        <f t="shared" si="11"/>
        <v>0</v>
      </c>
      <c r="L35" s="131">
        <f t="shared" si="11"/>
        <v>0</v>
      </c>
      <c r="M35" s="118">
        <f t="shared" si="11"/>
        <v>329</v>
      </c>
      <c r="N35" s="118">
        <f t="shared" si="11"/>
        <v>0</v>
      </c>
      <c r="O35" s="56">
        <f t="shared" si="11"/>
        <v>329</v>
      </c>
    </row>
    <row r="36" spans="1:15" ht="25.5">
      <c r="A36" s="189"/>
      <c r="B36" s="51">
        <v>4113</v>
      </c>
      <c r="C36" s="185" t="s">
        <v>18</v>
      </c>
      <c r="D36" s="54"/>
      <c r="E36" s="52">
        <v>329</v>
      </c>
      <c r="F36" s="52"/>
      <c r="G36" s="53">
        <f>+E36+D36</f>
        <v>329</v>
      </c>
      <c r="H36" s="54"/>
      <c r="I36" s="52"/>
      <c r="J36" s="52"/>
      <c r="K36" s="53">
        <f>+I36+H36</f>
        <v>0</v>
      </c>
      <c r="L36" s="54">
        <f>+D36+H36</f>
        <v>0</v>
      </c>
      <c r="M36" s="52">
        <f>+E36+I36</f>
        <v>329</v>
      </c>
      <c r="N36" s="52">
        <f>+F36+J36</f>
        <v>0</v>
      </c>
      <c r="O36" s="53">
        <f>+M36+L36</f>
        <v>329</v>
      </c>
    </row>
    <row r="37" spans="1:15" ht="94.5" customHeight="1" hidden="1" outlineLevel="1">
      <c r="A37" s="189">
        <v>250913</v>
      </c>
      <c r="B37" s="51"/>
      <c r="C37" s="184" t="s">
        <v>188</v>
      </c>
      <c r="D37" s="131">
        <f>+D38</f>
        <v>0</v>
      </c>
      <c r="E37" s="118">
        <f>+E38</f>
        <v>0</v>
      </c>
      <c r="F37" s="118">
        <f>+F38</f>
        <v>0</v>
      </c>
      <c r="G37" s="53">
        <f>+E37+D37</f>
        <v>0</v>
      </c>
      <c r="H37" s="131">
        <f>+H38</f>
        <v>0</v>
      </c>
      <c r="I37" s="118">
        <f>+I38</f>
        <v>0</v>
      </c>
      <c r="J37" s="118">
        <f>+J38</f>
        <v>0</v>
      </c>
      <c r="K37" s="53">
        <f>+I37+H37</f>
        <v>0</v>
      </c>
      <c r="L37" s="131">
        <f>+L38</f>
        <v>0</v>
      </c>
      <c r="M37" s="118">
        <f>+M38</f>
        <v>0</v>
      </c>
      <c r="N37" s="118">
        <f>+N38</f>
        <v>0</v>
      </c>
      <c r="O37" s="53">
        <f>+M37+L37</f>
        <v>0</v>
      </c>
    </row>
    <row r="38" spans="1:15" ht="54" customHeight="1" hidden="1" outlineLevel="1">
      <c r="A38" s="189"/>
      <c r="B38" s="51">
        <v>1172</v>
      </c>
      <c r="C38" s="185" t="s">
        <v>81</v>
      </c>
      <c r="D38" s="54"/>
      <c r="E38" s="52"/>
      <c r="F38" s="52"/>
      <c r="G38" s="53">
        <f>+E38+D38</f>
        <v>0</v>
      </c>
      <c r="H38" s="54"/>
      <c r="I38" s="52"/>
      <c r="J38" s="52"/>
      <c r="K38" s="53">
        <f>+I38+H38</f>
        <v>0</v>
      </c>
      <c r="L38" s="54">
        <f>+D38+H38</f>
        <v>0</v>
      </c>
      <c r="M38" s="52">
        <f>+E38+I38</f>
        <v>0</v>
      </c>
      <c r="N38" s="52">
        <f>+F38+J38</f>
        <v>0</v>
      </c>
      <c r="O38" s="53">
        <f>+M38+L38</f>
        <v>0</v>
      </c>
    </row>
    <row r="39" spans="1:17" ht="57" customHeight="1" collapsed="1">
      <c r="A39" s="197" t="s">
        <v>443</v>
      </c>
      <c r="B39" s="119"/>
      <c r="C39" s="186" t="s">
        <v>194</v>
      </c>
      <c r="D39" s="121">
        <f>+D40+D45</f>
        <v>0</v>
      </c>
      <c r="E39" s="122">
        <f aca="true" t="shared" si="12" ref="E39:O39">+E40+E45</f>
        <v>47</v>
      </c>
      <c r="F39" s="122">
        <f t="shared" si="12"/>
        <v>0</v>
      </c>
      <c r="G39" s="120">
        <f t="shared" si="12"/>
        <v>47</v>
      </c>
      <c r="H39" s="121">
        <f t="shared" si="12"/>
        <v>0</v>
      </c>
      <c r="I39" s="122">
        <f t="shared" si="12"/>
        <v>0</v>
      </c>
      <c r="J39" s="122">
        <f t="shared" si="12"/>
        <v>0</v>
      </c>
      <c r="K39" s="120">
        <f t="shared" si="12"/>
        <v>0</v>
      </c>
      <c r="L39" s="121">
        <f t="shared" si="12"/>
        <v>0</v>
      </c>
      <c r="M39" s="122">
        <f t="shared" si="12"/>
        <v>47</v>
      </c>
      <c r="N39" s="122">
        <f t="shared" si="12"/>
        <v>0</v>
      </c>
      <c r="O39" s="120">
        <f t="shared" si="12"/>
        <v>47</v>
      </c>
      <c r="P39" s="123"/>
      <c r="Q39" s="123"/>
    </row>
    <row r="40" spans="1:15" ht="63.75">
      <c r="A40" s="189">
        <v>250908</v>
      </c>
      <c r="B40" s="51"/>
      <c r="C40" s="184" t="s">
        <v>179</v>
      </c>
      <c r="D40" s="131">
        <f>+D41</f>
        <v>0</v>
      </c>
      <c r="E40" s="118">
        <f aca="true" t="shared" si="13" ref="E40:O40">+E41</f>
        <v>47</v>
      </c>
      <c r="F40" s="118">
        <f t="shared" si="13"/>
        <v>0</v>
      </c>
      <c r="G40" s="56">
        <f t="shared" si="13"/>
        <v>47</v>
      </c>
      <c r="H40" s="131">
        <f t="shared" si="13"/>
        <v>0</v>
      </c>
      <c r="I40" s="118">
        <f t="shared" si="13"/>
        <v>0</v>
      </c>
      <c r="J40" s="118">
        <f t="shared" si="13"/>
        <v>0</v>
      </c>
      <c r="K40" s="56">
        <f t="shared" si="13"/>
        <v>0</v>
      </c>
      <c r="L40" s="131">
        <f t="shared" si="13"/>
        <v>0</v>
      </c>
      <c r="M40" s="118">
        <f t="shared" si="13"/>
        <v>47</v>
      </c>
      <c r="N40" s="118">
        <f t="shared" si="13"/>
        <v>0</v>
      </c>
      <c r="O40" s="56">
        <f t="shared" si="13"/>
        <v>47</v>
      </c>
    </row>
    <row r="41" spans="1:15" ht="25.5">
      <c r="A41" s="189"/>
      <c r="B41" s="51">
        <v>4113</v>
      </c>
      <c r="C41" s="185" t="s">
        <v>18</v>
      </c>
      <c r="D41" s="54"/>
      <c r="E41" s="52">
        <v>47</v>
      </c>
      <c r="F41" s="52"/>
      <c r="G41" s="53">
        <f>+E41+D41</f>
        <v>47</v>
      </c>
      <c r="H41" s="54"/>
      <c r="I41" s="52"/>
      <c r="J41" s="52"/>
      <c r="K41" s="53">
        <f>+I41+H41</f>
        <v>0</v>
      </c>
      <c r="L41" s="54">
        <f>+D41+H41</f>
        <v>0</v>
      </c>
      <c r="M41" s="52">
        <f>+E41+I41</f>
        <v>47</v>
      </c>
      <c r="N41" s="52">
        <f>+F41+J41</f>
        <v>0</v>
      </c>
      <c r="O41" s="53">
        <f>+M41+L41</f>
        <v>47</v>
      </c>
    </row>
    <row r="42" spans="1:16" ht="44.25" customHeight="1">
      <c r="A42" s="369"/>
      <c r="B42" s="119"/>
      <c r="C42" s="186" t="s">
        <v>226</v>
      </c>
      <c r="D42" s="121">
        <f>+D43</f>
        <v>0</v>
      </c>
      <c r="E42" s="122">
        <f aca="true" t="shared" si="14" ref="E42:O43">+E43</f>
        <v>291.518</v>
      </c>
      <c r="F42" s="122">
        <f t="shared" si="14"/>
        <v>0</v>
      </c>
      <c r="G42" s="120">
        <f t="shared" si="14"/>
        <v>291.518</v>
      </c>
      <c r="H42" s="121">
        <f t="shared" si="14"/>
        <v>0</v>
      </c>
      <c r="I42" s="122">
        <f t="shared" si="14"/>
        <v>0</v>
      </c>
      <c r="J42" s="122">
        <f t="shared" si="14"/>
        <v>0</v>
      </c>
      <c r="K42" s="120">
        <f t="shared" si="14"/>
        <v>0</v>
      </c>
      <c r="L42" s="121">
        <f t="shared" si="14"/>
        <v>0</v>
      </c>
      <c r="M42" s="122">
        <f t="shared" si="14"/>
        <v>291.518</v>
      </c>
      <c r="N42" s="122">
        <f t="shared" si="14"/>
        <v>0</v>
      </c>
      <c r="O42" s="120">
        <f t="shared" si="14"/>
        <v>291.518</v>
      </c>
      <c r="P42" s="123"/>
    </row>
    <row r="43" spans="1:15" ht="38.25">
      <c r="A43" s="189">
        <v>250903</v>
      </c>
      <c r="B43" s="51"/>
      <c r="C43" s="184" t="s">
        <v>357</v>
      </c>
      <c r="D43" s="131">
        <f>+D44</f>
        <v>0</v>
      </c>
      <c r="E43" s="118">
        <f t="shared" si="14"/>
        <v>291.518</v>
      </c>
      <c r="F43" s="118">
        <f t="shared" si="14"/>
        <v>0</v>
      </c>
      <c r="G43" s="56">
        <f t="shared" si="14"/>
        <v>291.518</v>
      </c>
      <c r="H43" s="131">
        <f t="shared" si="14"/>
        <v>0</v>
      </c>
      <c r="I43" s="118">
        <f t="shared" si="14"/>
        <v>0</v>
      </c>
      <c r="J43" s="118">
        <f t="shared" si="14"/>
        <v>0</v>
      </c>
      <c r="K43" s="56">
        <f t="shared" si="14"/>
        <v>0</v>
      </c>
      <c r="L43" s="131">
        <f t="shared" si="14"/>
        <v>0</v>
      </c>
      <c r="M43" s="118">
        <f t="shared" si="14"/>
        <v>291.518</v>
      </c>
      <c r="N43" s="118">
        <f t="shared" si="14"/>
        <v>0</v>
      </c>
      <c r="O43" s="56">
        <f t="shared" si="14"/>
        <v>291.518</v>
      </c>
    </row>
    <row r="44" spans="1:15" ht="38.25">
      <c r="A44" s="189"/>
      <c r="B44" s="51">
        <v>4112</v>
      </c>
      <c r="C44" s="185" t="s">
        <v>358</v>
      </c>
      <c r="D44" s="370"/>
      <c r="E44" s="52">
        <v>291.518</v>
      </c>
      <c r="F44" s="52"/>
      <c r="G44" s="53">
        <f>+E44+D44</f>
        <v>291.518</v>
      </c>
      <c r="H44" s="54"/>
      <c r="I44" s="52"/>
      <c r="J44" s="52"/>
      <c r="K44" s="53">
        <v>0</v>
      </c>
      <c r="L44" s="54">
        <f>+D44+H44</f>
        <v>0</v>
      </c>
      <c r="M44" s="52">
        <f>+E44+I44</f>
        <v>291.518</v>
      </c>
      <c r="N44" s="52">
        <f>+F44+J44</f>
        <v>0</v>
      </c>
      <c r="O44" s="53">
        <f>+M44+L44</f>
        <v>291.518</v>
      </c>
    </row>
    <row r="45" spans="1:15" ht="12.75">
      <c r="A45" s="190"/>
      <c r="B45" s="128"/>
      <c r="C45" s="187"/>
      <c r="D45" s="132"/>
      <c r="E45" s="133"/>
      <c r="F45" s="133"/>
      <c r="G45" s="129"/>
      <c r="H45" s="132"/>
      <c r="I45" s="133"/>
      <c r="J45" s="133"/>
      <c r="K45" s="129"/>
      <c r="L45" s="132"/>
      <c r="M45" s="133"/>
      <c r="N45" s="133"/>
      <c r="O45" s="129"/>
    </row>
    <row r="46" spans="1:15" ht="12.75">
      <c r="A46" s="191"/>
      <c r="B46" s="57"/>
      <c r="C46" s="188" t="s">
        <v>281</v>
      </c>
      <c r="D46" s="58">
        <f>+D13+D27+D34+D24+D42+D39</f>
        <v>0</v>
      </c>
      <c r="E46" s="58">
        <f aca="true" t="shared" si="15" ref="E46:O46">+E13+E27+E34+E24+E42+E39</f>
        <v>6107.518</v>
      </c>
      <c r="F46" s="58">
        <f t="shared" si="15"/>
        <v>0</v>
      </c>
      <c r="G46" s="58">
        <f t="shared" si="15"/>
        <v>6107.518</v>
      </c>
      <c r="H46" s="58">
        <f t="shared" si="15"/>
        <v>0</v>
      </c>
      <c r="I46" s="58">
        <f t="shared" si="15"/>
        <v>-12791.518</v>
      </c>
      <c r="J46" s="58">
        <f t="shared" si="15"/>
        <v>-6600</v>
      </c>
      <c r="K46" s="58">
        <f t="shared" si="15"/>
        <v>-12791.518</v>
      </c>
      <c r="L46" s="58">
        <f t="shared" si="15"/>
        <v>0</v>
      </c>
      <c r="M46" s="58">
        <f t="shared" si="15"/>
        <v>-6684</v>
      </c>
      <c r="N46" s="58">
        <f t="shared" si="15"/>
        <v>-6600</v>
      </c>
      <c r="O46" s="58">
        <f t="shared" si="15"/>
        <v>-6684</v>
      </c>
    </row>
    <row r="47" spans="1:15" ht="12.75" hidden="1" outlineLevel="1">
      <c r="A47" s="166"/>
      <c r="B47" s="167"/>
      <c r="C47" s="168"/>
      <c r="D47" s="169">
        <f>+D15+D19+D36+D27+D25+D43+D39</f>
        <v>0</v>
      </c>
      <c r="E47" s="169">
        <f>+E15+E19+E36+E27+E25+E43+E39</f>
        <v>6107.518</v>
      </c>
      <c r="F47" s="169">
        <f>+F15+F19+F36+F27+F25</f>
        <v>0</v>
      </c>
      <c r="G47" s="169">
        <f>+G15+G19+G36+G27+G25+G43+G39</f>
        <v>6107.518</v>
      </c>
      <c r="H47" s="169">
        <f aca="true" t="shared" si="16" ref="H47:O47">+H15+H19+H36+H27+H25+H43+H39</f>
        <v>0</v>
      </c>
      <c r="I47" s="169">
        <f t="shared" si="16"/>
        <v>-12791.518</v>
      </c>
      <c r="J47" s="169">
        <f t="shared" si="16"/>
        <v>-6600</v>
      </c>
      <c r="K47" s="169">
        <f t="shared" si="16"/>
        <v>-12791.518</v>
      </c>
      <c r="L47" s="169">
        <f t="shared" si="16"/>
        <v>0</v>
      </c>
      <c r="M47" s="169">
        <f t="shared" si="16"/>
        <v>-6684</v>
      </c>
      <c r="N47" s="169">
        <f t="shared" si="16"/>
        <v>-6600</v>
      </c>
      <c r="O47" s="169">
        <f t="shared" si="16"/>
        <v>-6684</v>
      </c>
    </row>
    <row r="48" spans="4:15" ht="12.75" hidden="1" outlineLevel="1">
      <c r="D48" s="10">
        <f>+D38+D21+D23</f>
        <v>0</v>
      </c>
      <c r="E48" s="10">
        <f>+E38+E21+E23</f>
        <v>0</v>
      </c>
      <c r="F48" s="10">
        <f aca="true" t="shared" si="17" ref="F48:O48">+F38+F21+F23</f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</row>
    <row r="49" spans="4:15" ht="12.75" collapsed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4" ht="18">
      <c r="A51" s="5" t="s">
        <v>277</v>
      </c>
      <c r="B51" s="38"/>
      <c r="M51" s="59"/>
      <c r="N51" s="59"/>
    </row>
    <row r="52" spans="1:14" ht="18">
      <c r="A52" s="5" t="s">
        <v>234</v>
      </c>
      <c r="B52" s="39"/>
      <c r="M52" s="6"/>
      <c r="N52" s="6"/>
    </row>
    <row r="53" spans="1:14" ht="18">
      <c r="A53" s="5" t="s">
        <v>540</v>
      </c>
      <c r="D53" s="10"/>
      <c r="N53" s="6" t="s">
        <v>539</v>
      </c>
    </row>
    <row r="54" spans="4:12" ht="12.75">
      <c r="D54" s="10"/>
      <c r="L54" s="10"/>
    </row>
  </sheetData>
  <sheetProtection/>
  <mergeCells count="19">
    <mergeCell ref="K1:L1"/>
    <mergeCell ref="C5:E5"/>
    <mergeCell ref="A6:O6"/>
    <mergeCell ref="M4:O4"/>
    <mergeCell ref="K10:K11"/>
    <mergeCell ref="B9:B11"/>
    <mergeCell ref="D9:G9"/>
    <mergeCell ref="A10:A11"/>
    <mergeCell ref="C10:C11"/>
    <mergeCell ref="L10:L11"/>
    <mergeCell ref="H9:K9"/>
    <mergeCell ref="L9:O9"/>
    <mergeCell ref="D10:D11"/>
    <mergeCell ref="E10:F10"/>
    <mergeCell ref="G10:G11"/>
    <mergeCell ref="M10:N10"/>
    <mergeCell ref="O10:O11"/>
    <mergeCell ref="H10:H11"/>
    <mergeCell ref="I10:J10"/>
  </mergeCells>
  <printOptions horizontalCentered="1"/>
  <pageMargins left="0.3937007874015748" right="0.1968503937007874" top="0.5905511811023623" bottom="0.3937007874015748" header="0.3937007874015748" footer="0.11811023622047245"/>
  <pageSetup firstPageNumber="23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2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3" sqref="D33"/>
    </sheetView>
  </sheetViews>
  <sheetFormatPr defaultColWidth="9.00390625" defaultRowHeight="12.75" outlineLevelRow="1"/>
  <cols>
    <col min="1" max="1" width="12.125" style="4" customWidth="1"/>
    <col min="2" max="2" width="35.875" style="4" customWidth="1"/>
    <col min="3" max="3" width="23.625" style="4" customWidth="1"/>
    <col min="4" max="4" width="16.75390625" style="4" customWidth="1"/>
    <col min="5" max="5" width="14.75390625" style="4" customWidth="1"/>
    <col min="6" max="6" width="13.75390625" style="4" customWidth="1"/>
    <col min="7" max="7" width="9.125" style="4" customWidth="1"/>
    <col min="8" max="8" width="10.25390625" style="4" bestFit="1" customWidth="1"/>
    <col min="9" max="16384" width="9.125" style="4" customWidth="1"/>
  </cols>
  <sheetData>
    <row r="1" spans="1:6" ht="14.25" customHeight="1">
      <c r="A1" s="1"/>
      <c r="C1" s="13"/>
      <c r="D1" s="13"/>
      <c r="E1" s="91" t="s">
        <v>477</v>
      </c>
      <c r="F1" s="91"/>
    </row>
    <row r="2" spans="1:6" ht="12.75" customHeight="1">
      <c r="A2" s="1"/>
      <c r="C2" s="13"/>
      <c r="D2" s="13"/>
      <c r="E2" s="24" t="s">
        <v>275</v>
      </c>
      <c r="F2" s="24"/>
    </row>
    <row r="3" spans="1:6" ht="15">
      <c r="A3" s="1"/>
      <c r="C3" s="7"/>
      <c r="D3" s="8"/>
      <c r="E3" s="92" t="s">
        <v>540</v>
      </c>
      <c r="F3" s="92"/>
    </row>
    <row r="4" spans="1:8" ht="15" customHeight="1">
      <c r="A4" s="1"/>
      <c r="C4" s="7"/>
      <c r="D4" s="377"/>
      <c r="E4" s="601" t="s">
        <v>248</v>
      </c>
      <c r="F4" s="601"/>
      <c r="G4" s="601"/>
      <c r="H4" s="23"/>
    </row>
    <row r="5" spans="1:3" ht="12.75">
      <c r="A5" s="1"/>
      <c r="B5" s="676"/>
      <c r="C5" s="676"/>
    </row>
    <row r="6" spans="1:6" ht="18">
      <c r="A6" s="677" t="s">
        <v>147</v>
      </c>
      <c r="B6" s="677"/>
      <c r="C6" s="677"/>
      <c r="D6" s="677"/>
      <c r="E6" s="677"/>
      <c r="F6" s="677"/>
    </row>
    <row r="7" spans="1:6" ht="12.75">
      <c r="A7" s="340"/>
      <c r="B7" s="340"/>
      <c r="C7" s="340"/>
      <c r="D7" s="340"/>
      <c r="E7" s="340"/>
      <c r="F7" s="340"/>
    </row>
    <row r="8" spans="4:6" ht="12.75">
      <c r="D8" s="9"/>
      <c r="F8" s="9" t="s">
        <v>353</v>
      </c>
    </row>
    <row r="9" spans="1:6" s="192" customFormat="1" ht="20.25" customHeight="1">
      <c r="A9" s="626" t="s">
        <v>148</v>
      </c>
      <c r="B9" s="625" t="s">
        <v>149</v>
      </c>
      <c r="C9" s="678" t="s">
        <v>543</v>
      </c>
      <c r="D9" s="662" t="s">
        <v>544</v>
      </c>
      <c r="E9" s="662"/>
      <c r="F9" s="680" t="s">
        <v>276</v>
      </c>
    </row>
    <row r="10" spans="1:6" s="192" customFormat="1" ht="39.75" customHeight="1">
      <c r="A10" s="628"/>
      <c r="B10" s="622"/>
      <c r="C10" s="679"/>
      <c r="D10" s="384" t="s">
        <v>276</v>
      </c>
      <c r="E10" s="384" t="s">
        <v>150</v>
      </c>
      <c r="F10" s="681"/>
    </row>
    <row r="11" spans="1:6" ht="12.75">
      <c r="A11" s="50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11" ht="18" customHeight="1">
      <c r="A12" s="200" t="s">
        <v>383</v>
      </c>
      <c r="B12" s="183" t="s">
        <v>151</v>
      </c>
      <c r="C12" s="130">
        <f>+C13+C16</f>
        <v>20706.456</v>
      </c>
      <c r="D12" s="130">
        <f>+D13+D16</f>
        <v>-20706.456</v>
      </c>
      <c r="E12" s="126">
        <f>+E13+E16</f>
        <v>-20706.456</v>
      </c>
      <c r="F12" s="392">
        <f>+D12+C12</f>
        <v>0</v>
      </c>
      <c r="G12" s="103"/>
      <c r="I12" s="103"/>
      <c r="J12" s="103"/>
      <c r="K12" s="103"/>
    </row>
    <row r="13" spans="1:6" ht="38.25" hidden="1" outlineLevel="1">
      <c r="A13" s="399" t="s">
        <v>152</v>
      </c>
      <c r="B13" s="184" t="s">
        <v>153</v>
      </c>
      <c r="C13" s="131">
        <f>+C14</f>
        <v>0</v>
      </c>
      <c r="D13" s="131">
        <f>+D15</f>
        <v>0</v>
      </c>
      <c r="E13" s="56">
        <f>+E15</f>
        <v>0</v>
      </c>
      <c r="F13" s="393">
        <f aca="true" t="shared" si="0" ref="F13:F30">+D13+C13</f>
        <v>0</v>
      </c>
    </row>
    <row r="14" spans="1:8" ht="25.5" hidden="1" outlineLevel="1">
      <c r="A14" s="400">
        <v>205320</v>
      </c>
      <c r="B14" s="396" t="s">
        <v>157</v>
      </c>
      <c r="C14" s="54"/>
      <c r="D14" s="397"/>
      <c r="E14" s="402"/>
      <c r="F14" s="394">
        <f t="shared" si="0"/>
        <v>0</v>
      </c>
      <c r="H14" s="10"/>
    </row>
    <row r="15" spans="1:6" ht="25.5" hidden="1" outlineLevel="1">
      <c r="A15" s="400">
        <v>205330</v>
      </c>
      <c r="B15" s="396" t="s">
        <v>158</v>
      </c>
      <c r="C15" s="54"/>
      <c r="D15" s="131"/>
      <c r="E15" s="53"/>
      <c r="F15" s="393">
        <f t="shared" si="0"/>
        <v>0</v>
      </c>
    </row>
    <row r="16" spans="1:6" ht="30" customHeight="1" collapsed="1">
      <c r="A16" s="399">
        <v>208000</v>
      </c>
      <c r="B16" s="184" t="s">
        <v>159</v>
      </c>
      <c r="C16" s="54">
        <f>+C17-C18+C19+C20-C21</f>
        <v>20706.456</v>
      </c>
      <c r="D16" s="54">
        <f>+D17-D18+D19+D20-D21</f>
        <v>-20706.456</v>
      </c>
      <c r="E16" s="53">
        <f>+E17-E18+E19+E20-E21</f>
        <v>-20706.456</v>
      </c>
      <c r="F16" s="394">
        <f>+F17-F18+F19+F20-F21</f>
        <v>0</v>
      </c>
    </row>
    <row r="17" spans="1:6" ht="12.75" hidden="1" outlineLevel="1">
      <c r="A17" s="401">
        <v>208100</v>
      </c>
      <c r="B17" s="398" t="s">
        <v>160</v>
      </c>
      <c r="C17" s="121"/>
      <c r="D17" s="121"/>
      <c r="E17" s="120"/>
      <c r="F17" s="395">
        <f t="shared" si="0"/>
        <v>0</v>
      </c>
    </row>
    <row r="18" spans="1:6" ht="12.75" hidden="1" outlineLevel="1">
      <c r="A18" s="401">
        <v>208200</v>
      </c>
      <c r="B18" s="398" t="s">
        <v>161</v>
      </c>
      <c r="C18" s="131"/>
      <c r="D18" s="131"/>
      <c r="E18" s="53"/>
      <c r="F18" s="393">
        <f t="shared" si="0"/>
        <v>0</v>
      </c>
    </row>
    <row r="19" spans="1:6" ht="25.5" hidden="1" outlineLevel="1">
      <c r="A19" s="401" t="s">
        <v>548</v>
      </c>
      <c r="B19" s="398" t="s">
        <v>157</v>
      </c>
      <c r="C19" s="121"/>
      <c r="D19" s="397"/>
      <c r="E19" s="402"/>
      <c r="F19" s="395">
        <f t="shared" si="0"/>
        <v>0</v>
      </c>
    </row>
    <row r="20" spans="1:6" ht="25.5" collapsed="1">
      <c r="A20" s="401" t="s">
        <v>549</v>
      </c>
      <c r="B20" s="398" t="s">
        <v>158</v>
      </c>
      <c r="C20" s="409">
        <f>1923.328+112.381+6.5+132.16+76.843+3224.711+360.575+178.066+386+198+290.8+5717.092+8100</f>
        <v>20706.456</v>
      </c>
      <c r="D20" s="409"/>
      <c r="E20" s="410"/>
      <c r="F20" s="394">
        <f>+C20-D20</f>
        <v>20706.456</v>
      </c>
    </row>
    <row r="21" spans="1:6" ht="38.25">
      <c r="A21" s="417" t="s">
        <v>103</v>
      </c>
      <c r="B21" s="398" t="s">
        <v>104</v>
      </c>
      <c r="C21" s="409"/>
      <c r="D21" s="409">
        <f>+C20</f>
        <v>20706.456</v>
      </c>
      <c r="E21" s="410">
        <f>+D21</f>
        <v>20706.456</v>
      </c>
      <c r="F21" s="393">
        <f t="shared" si="0"/>
        <v>20706.456</v>
      </c>
    </row>
    <row r="22" spans="1:6" ht="12.75">
      <c r="A22" s="189"/>
      <c r="B22" s="186" t="s">
        <v>165</v>
      </c>
      <c r="C22" s="121">
        <f>+C12</f>
        <v>20706.456</v>
      </c>
      <c r="D22" s="121">
        <f>+D12</f>
        <v>-20706.456</v>
      </c>
      <c r="E22" s="120">
        <f>+E12</f>
        <v>-20706.456</v>
      </c>
      <c r="F22" s="395">
        <f t="shared" si="0"/>
        <v>0</v>
      </c>
    </row>
    <row r="23" spans="1:11" ht="32.25" customHeight="1">
      <c r="A23" s="200" t="s">
        <v>166</v>
      </c>
      <c r="B23" s="186" t="s">
        <v>162</v>
      </c>
      <c r="C23" s="121">
        <f>+C24-C25+C26+C28-C29</f>
        <v>20706.456</v>
      </c>
      <c r="D23" s="121">
        <f>+D24-D25+D26+D28-D29</f>
        <v>-20706.456</v>
      </c>
      <c r="E23" s="120">
        <f>+E24-E25+E26+E28-E29</f>
        <v>-20706.456</v>
      </c>
      <c r="F23" s="395">
        <f>+F24-F25+F26+F28-F29</f>
        <v>0</v>
      </c>
      <c r="G23" s="103"/>
      <c r="I23" s="103"/>
      <c r="J23" s="103"/>
      <c r="K23" s="103"/>
    </row>
    <row r="24" spans="1:6" ht="12.75" hidden="1" outlineLevel="1">
      <c r="A24" s="401" t="s">
        <v>163</v>
      </c>
      <c r="B24" s="398" t="s">
        <v>154</v>
      </c>
      <c r="C24" s="409">
        <f aca="true" t="shared" si="1" ref="C24:E25">+C17</f>
        <v>0</v>
      </c>
      <c r="D24" s="409">
        <f t="shared" si="1"/>
        <v>0</v>
      </c>
      <c r="E24" s="410">
        <f t="shared" si="1"/>
        <v>0</v>
      </c>
      <c r="F24" s="395">
        <f t="shared" si="0"/>
        <v>0</v>
      </c>
    </row>
    <row r="25" spans="1:6" ht="12.75" hidden="1" outlineLevel="1">
      <c r="A25" s="401" t="s">
        <v>164</v>
      </c>
      <c r="B25" s="398" t="s">
        <v>155</v>
      </c>
      <c r="C25" s="409">
        <f t="shared" si="1"/>
        <v>0</v>
      </c>
      <c r="D25" s="409">
        <f t="shared" si="1"/>
        <v>0</v>
      </c>
      <c r="E25" s="410">
        <f t="shared" si="1"/>
        <v>0</v>
      </c>
      <c r="F25" s="393">
        <f t="shared" si="0"/>
        <v>0</v>
      </c>
    </row>
    <row r="26" spans="1:6" ht="25.5" hidden="1" outlineLevel="1">
      <c r="A26" s="401" t="s">
        <v>550</v>
      </c>
      <c r="B26" s="396" t="s">
        <v>157</v>
      </c>
      <c r="C26" s="409">
        <f>+C14+C19</f>
        <v>0</v>
      </c>
      <c r="D26" s="411">
        <f>+D14+D19</f>
        <v>0</v>
      </c>
      <c r="E26" s="408">
        <f>+E14+E19</f>
        <v>0</v>
      </c>
      <c r="F26" s="395">
        <f t="shared" si="0"/>
        <v>0</v>
      </c>
    </row>
    <row r="27" spans="1:6" ht="12.75" collapsed="1">
      <c r="A27" s="401"/>
      <c r="B27" s="396"/>
      <c r="C27" s="409"/>
      <c r="D27" s="411"/>
      <c r="E27" s="408"/>
      <c r="F27" s="395"/>
    </row>
    <row r="28" spans="1:6" ht="25.5">
      <c r="A28" s="401" t="s">
        <v>551</v>
      </c>
      <c r="B28" s="396" t="s">
        <v>158</v>
      </c>
      <c r="C28" s="409">
        <f>+C15+C20</f>
        <v>20706.456</v>
      </c>
      <c r="D28" s="411"/>
      <c r="E28" s="408"/>
      <c r="F28" s="394">
        <f>+C28-D28</f>
        <v>20706.456</v>
      </c>
    </row>
    <row r="29" spans="1:6" ht="38.25">
      <c r="A29" s="401" t="s">
        <v>105</v>
      </c>
      <c r="B29" s="398" t="s">
        <v>104</v>
      </c>
      <c r="C29" s="131"/>
      <c r="D29" s="131">
        <f>+C28</f>
        <v>20706.456</v>
      </c>
      <c r="E29" s="56">
        <f>+D29</f>
        <v>20706.456</v>
      </c>
      <c r="F29" s="393">
        <f t="shared" si="0"/>
        <v>20706.456</v>
      </c>
    </row>
    <row r="30" spans="1:6" ht="25.5">
      <c r="A30" s="190"/>
      <c r="B30" s="403" t="s">
        <v>167</v>
      </c>
      <c r="C30" s="404">
        <f>+C23</f>
        <v>20706.456</v>
      </c>
      <c r="D30" s="404">
        <f>+D23</f>
        <v>-20706.456</v>
      </c>
      <c r="E30" s="405">
        <f>+E23</f>
        <v>-20706.456</v>
      </c>
      <c r="F30" s="406">
        <f t="shared" si="0"/>
        <v>0</v>
      </c>
    </row>
    <row r="31" spans="1:6" ht="12.75" hidden="1" outlineLevel="1">
      <c r="A31" s="166"/>
      <c r="B31" s="168"/>
      <c r="C31" s="407">
        <f>+C30-C12</f>
        <v>0</v>
      </c>
      <c r="D31" s="407">
        <f>+D30-D12</f>
        <v>0</v>
      </c>
      <c r="E31" s="407">
        <f>+E30-E12</f>
        <v>0</v>
      </c>
      <c r="F31" s="407">
        <f>+F30-F12</f>
        <v>0</v>
      </c>
    </row>
    <row r="32" spans="3:6" ht="12.75" hidden="1" outlineLevel="1">
      <c r="C32" s="10"/>
      <c r="D32" s="10"/>
      <c r="E32" s="10"/>
      <c r="F32" s="10"/>
    </row>
    <row r="33" spans="3:6" ht="12.75" collapsed="1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1:6" ht="18">
      <c r="A36" s="5" t="s">
        <v>277</v>
      </c>
      <c r="F36" s="59"/>
    </row>
    <row r="37" spans="1:6" ht="18">
      <c r="A37" s="5" t="s">
        <v>234</v>
      </c>
      <c r="F37" s="6"/>
    </row>
    <row r="38" spans="1:5" ht="18">
      <c r="A38" s="5" t="s">
        <v>540</v>
      </c>
      <c r="C38" s="10"/>
      <c r="E38" s="6" t="s">
        <v>539</v>
      </c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20">
      <selection activeCell="C131" sqref="C131"/>
    </sheetView>
  </sheetViews>
  <sheetFormatPr defaultColWidth="9.00390625" defaultRowHeight="12.75" outlineLevelRow="1" outlineLevelCol="1"/>
  <cols>
    <col min="1" max="1" width="8.00390625" style="33" customWidth="1"/>
    <col min="2" max="2" width="33.00390625" style="33" customWidth="1"/>
    <col min="3" max="3" width="54.625" style="33" customWidth="1"/>
    <col min="4" max="4" width="12.375" style="33" hidden="1" customWidth="1" outlineLevel="1"/>
    <col min="5" max="5" width="11.75390625" style="33" hidden="1" customWidth="1" outlineLevel="1"/>
    <col min="6" max="6" width="12.00390625" style="33" hidden="1" customWidth="1" outlineLevel="1" collapsed="1"/>
    <col min="7" max="7" width="12.375" style="33" customWidth="1" collapsed="1"/>
    <col min="8" max="10" width="9.25390625" style="33" hidden="1" customWidth="1" outlineLevel="1"/>
    <col min="11" max="11" width="9.125" style="33" hidden="1" customWidth="1" outlineLevel="1"/>
    <col min="12" max="12" width="10.25390625" style="33" hidden="1" customWidth="1" outlineLevel="1"/>
    <col min="13" max="13" width="9.125" style="33" customWidth="1" collapsed="1"/>
    <col min="14" max="16384" width="9.125" style="33" customWidth="1"/>
  </cols>
  <sheetData>
    <row r="1" spans="2:7" ht="17.25" customHeight="1">
      <c r="B1" s="85"/>
      <c r="C1" s="683" t="s">
        <v>346</v>
      </c>
      <c r="D1" s="683"/>
      <c r="E1" s="85"/>
      <c r="F1" s="85"/>
      <c r="G1" s="85"/>
    </row>
    <row r="2" spans="2:7" ht="12.75" customHeight="1">
      <c r="B2" s="86"/>
      <c r="C2" s="86" t="s">
        <v>275</v>
      </c>
      <c r="E2" s="24"/>
      <c r="F2" s="24"/>
      <c r="G2" s="24"/>
    </row>
    <row r="3" spans="2:7" ht="15" customHeight="1">
      <c r="B3" s="87"/>
      <c r="C3" s="87" t="s">
        <v>568</v>
      </c>
      <c r="E3" s="92"/>
      <c r="F3" s="92"/>
      <c r="G3" s="92"/>
    </row>
    <row r="4" spans="2:7" ht="16.5" customHeight="1">
      <c r="B4" s="23"/>
      <c r="C4" s="683" t="s">
        <v>249</v>
      </c>
      <c r="D4" s="683"/>
      <c r="E4" s="683"/>
      <c r="F4" s="683"/>
      <c r="G4" s="683"/>
    </row>
    <row r="6" spans="1:7" ht="15.75">
      <c r="A6" s="684" t="s">
        <v>425</v>
      </c>
      <c r="B6" s="684"/>
      <c r="C6" s="684"/>
      <c r="D6" s="684"/>
      <c r="E6" s="684"/>
      <c r="F6" s="684"/>
      <c r="G6" s="684"/>
    </row>
    <row r="7" spans="1:7" ht="15.75">
      <c r="A7" s="685" t="s">
        <v>372</v>
      </c>
      <c r="B7" s="685"/>
      <c r="C7" s="685"/>
      <c r="D7" s="685"/>
      <c r="E7" s="685"/>
      <c r="F7" s="685"/>
      <c r="G7" s="685"/>
    </row>
    <row r="8" spans="1:7" ht="12">
      <c r="A8" s="34"/>
      <c r="B8" s="34"/>
      <c r="C8" s="34"/>
      <c r="G8" s="33" t="s">
        <v>607</v>
      </c>
    </row>
    <row r="9" spans="1:7" s="182" customFormat="1" ht="87" customHeight="1">
      <c r="A9" s="181" t="s">
        <v>122</v>
      </c>
      <c r="B9" s="181" t="s">
        <v>125</v>
      </c>
      <c r="C9" s="181" t="s">
        <v>567</v>
      </c>
      <c r="D9" s="181" t="s">
        <v>42</v>
      </c>
      <c r="E9" s="181" t="s">
        <v>43</v>
      </c>
      <c r="F9" s="181" t="s">
        <v>44</v>
      </c>
      <c r="G9" s="181" t="s">
        <v>569</v>
      </c>
    </row>
    <row r="10" spans="1:7" ht="12.75" hidden="1" outlineLevel="1">
      <c r="A10" s="156"/>
      <c r="B10" s="139"/>
      <c r="C10" s="139"/>
      <c r="D10" s="139">
        <v>1</v>
      </c>
      <c r="E10" s="139">
        <v>2</v>
      </c>
      <c r="F10" s="139" t="s">
        <v>558</v>
      </c>
      <c r="G10" s="140">
        <v>9</v>
      </c>
    </row>
    <row r="11" spans="1:7" ht="14.25" hidden="1" outlineLevel="1" collapsed="1">
      <c r="A11" s="171">
        <v>150101</v>
      </c>
      <c r="B11" s="172" t="s">
        <v>45</v>
      </c>
      <c r="C11" s="173"/>
      <c r="D11" s="173"/>
      <c r="E11" s="173"/>
      <c r="F11" s="173"/>
      <c r="G11" s="174"/>
    </row>
    <row r="12" spans="1:7" ht="13.5" customHeight="1" hidden="1" outlineLevel="1">
      <c r="A12" s="127" t="s">
        <v>428</v>
      </c>
      <c r="B12" s="175" t="s">
        <v>604</v>
      </c>
      <c r="C12" s="176"/>
      <c r="D12" s="141">
        <f>+D13</f>
        <v>3113.532</v>
      </c>
      <c r="E12" s="159" t="e">
        <f>F12/D12*100</f>
        <v>#REF!</v>
      </c>
      <c r="F12" s="141" t="e">
        <f>+D12-#REF!-G12</f>
        <v>#REF!</v>
      </c>
      <c r="G12" s="142">
        <f>+G13</f>
        <v>0</v>
      </c>
    </row>
    <row r="13" spans="1:7" ht="41.25" customHeight="1" hidden="1" outlineLevel="1">
      <c r="A13" s="177"/>
      <c r="B13" s="35" t="s">
        <v>545</v>
      </c>
      <c r="C13" s="36"/>
      <c r="D13" s="136">
        <v>3113.532</v>
      </c>
      <c r="E13" s="158" t="e">
        <f>F13/D13*100</f>
        <v>#REF!</v>
      </c>
      <c r="F13" s="157" t="e">
        <f>+D13-#REF!-G13</f>
        <v>#REF!</v>
      </c>
      <c r="G13" s="137"/>
    </row>
    <row r="14" spans="1:7" ht="25.5" hidden="1" outlineLevel="1">
      <c r="A14" s="178" t="s">
        <v>434</v>
      </c>
      <c r="B14" s="104" t="s">
        <v>610</v>
      </c>
      <c r="C14" s="176"/>
      <c r="D14" s="141">
        <f>SUM(D15:D20)</f>
        <v>0</v>
      </c>
      <c r="E14" s="159">
        <f>SUM(E15:E20)</f>
        <v>0</v>
      </c>
      <c r="F14" s="141">
        <f>SUM(F15:F20)</f>
        <v>0</v>
      </c>
      <c r="G14" s="142">
        <f>SUM(G15:G20)</f>
        <v>0</v>
      </c>
    </row>
    <row r="15" spans="1:7" ht="27" customHeight="1" hidden="1" outlineLevel="1">
      <c r="A15" s="177"/>
      <c r="B15" s="35" t="s">
        <v>545</v>
      </c>
      <c r="C15" s="36"/>
      <c r="D15" s="136"/>
      <c r="E15" s="158"/>
      <c r="F15" s="136"/>
      <c r="G15" s="137"/>
    </row>
    <row r="16" spans="1:7" ht="12.75" hidden="1" outlineLevel="1">
      <c r="A16" s="177"/>
      <c r="B16" s="176"/>
      <c r="C16" s="36"/>
      <c r="D16" s="136"/>
      <c r="E16" s="158"/>
      <c r="F16" s="136"/>
      <c r="G16" s="137"/>
    </row>
    <row r="17" spans="1:7" ht="12.75" hidden="1" outlineLevel="1">
      <c r="A17" s="177"/>
      <c r="B17" s="176"/>
      <c r="C17" s="36"/>
      <c r="D17" s="136"/>
      <c r="E17" s="158"/>
      <c r="F17" s="136"/>
      <c r="G17" s="137"/>
    </row>
    <row r="18" spans="1:7" ht="12.75" hidden="1" outlineLevel="1">
      <c r="A18" s="177"/>
      <c r="B18" s="176"/>
      <c r="C18" s="36"/>
      <c r="D18" s="136"/>
      <c r="E18" s="158"/>
      <c r="F18" s="136"/>
      <c r="G18" s="137"/>
    </row>
    <row r="19" spans="1:7" ht="12.75" hidden="1" outlineLevel="1">
      <c r="A19" s="177"/>
      <c r="B19" s="176"/>
      <c r="C19" s="36"/>
      <c r="D19" s="136"/>
      <c r="E19" s="158"/>
      <c r="F19" s="136"/>
      <c r="G19" s="137"/>
    </row>
    <row r="20" spans="1:7" ht="12.75" hidden="1" outlineLevel="1">
      <c r="A20" s="177"/>
      <c r="B20" s="176"/>
      <c r="C20" s="36"/>
      <c r="D20" s="136"/>
      <c r="E20" s="158"/>
      <c r="F20" s="136"/>
      <c r="G20" s="137"/>
    </row>
    <row r="21" spans="1:7" ht="25.5" hidden="1" outlineLevel="1">
      <c r="A21" s="127" t="s">
        <v>500</v>
      </c>
      <c r="B21" s="104" t="s">
        <v>575</v>
      </c>
      <c r="C21" s="36"/>
      <c r="D21" s="155">
        <f>SUM(D22:D22)</f>
        <v>0</v>
      </c>
      <c r="E21" s="163">
        <f>SUM(E22:E22)</f>
        <v>0</v>
      </c>
      <c r="F21" s="164">
        <f>SUM(F22:F22)</f>
        <v>0</v>
      </c>
      <c r="G21" s="165">
        <f>SUM(G22:G22)</f>
        <v>0</v>
      </c>
    </row>
    <row r="22" spans="1:12" ht="38.25" hidden="1" outlineLevel="1">
      <c r="A22" s="177"/>
      <c r="B22" s="35" t="s">
        <v>545</v>
      </c>
      <c r="C22" s="359" t="s">
        <v>96</v>
      </c>
      <c r="D22" s="371"/>
      <c r="E22" s="372"/>
      <c r="F22" s="157"/>
      <c r="G22" s="373"/>
      <c r="L22" s="40">
        <f>+L21+L20</f>
        <v>0</v>
      </c>
    </row>
    <row r="23" spans="1:7" ht="38.25" hidden="1" outlineLevel="1" collapsed="1">
      <c r="A23" s="127" t="s">
        <v>475</v>
      </c>
      <c r="B23" s="104" t="s">
        <v>83</v>
      </c>
      <c r="C23" s="36"/>
      <c r="D23" s="141">
        <f>SUM(D24:D30)</f>
        <v>0</v>
      </c>
      <c r="E23" s="159">
        <f>SUM(E24:E30)</f>
        <v>0</v>
      </c>
      <c r="F23" s="141">
        <f>SUM(F24:F30)</f>
        <v>0</v>
      </c>
      <c r="G23" s="142">
        <f>SUM(G24:G30)</f>
        <v>0</v>
      </c>
    </row>
    <row r="24" spans="1:7" ht="12.75" hidden="1" outlineLevel="1">
      <c r="A24" s="177"/>
      <c r="B24" s="35" t="s">
        <v>545</v>
      </c>
      <c r="C24" s="36"/>
      <c r="D24" s="136"/>
      <c r="E24" s="158"/>
      <c r="F24" s="136"/>
      <c r="G24" s="137"/>
    </row>
    <row r="25" spans="1:7" ht="12.75" hidden="1" outlineLevel="1">
      <c r="A25" s="177"/>
      <c r="B25" s="176"/>
      <c r="C25" s="36"/>
      <c r="D25" s="136"/>
      <c r="E25" s="158"/>
      <c r="F25" s="136"/>
      <c r="G25" s="137"/>
    </row>
    <row r="26" spans="1:7" ht="12.75" hidden="1" outlineLevel="1">
      <c r="A26" s="177"/>
      <c r="B26" s="176"/>
      <c r="C26" s="154"/>
      <c r="D26" s="136"/>
      <c r="E26" s="158"/>
      <c r="F26" s="136"/>
      <c r="G26" s="137"/>
    </row>
    <row r="27" spans="1:7" ht="12.75" hidden="1" outlineLevel="1">
      <c r="A27" s="177"/>
      <c r="B27" s="176"/>
      <c r="C27" s="36"/>
      <c r="D27" s="136"/>
      <c r="E27" s="158"/>
      <c r="F27" s="136"/>
      <c r="G27" s="137"/>
    </row>
    <row r="28" spans="1:7" ht="12.75" hidden="1" outlineLevel="1">
      <c r="A28" s="177"/>
      <c r="B28" s="176"/>
      <c r="C28" s="36"/>
      <c r="D28" s="136"/>
      <c r="E28" s="158"/>
      <c r="F28" s="136"/>
      <c r="G28" s="137"/>
    </row>
    <row r="29" spans="1:7" ht="12.75" hidden="1" outlineLevel="1">
      <c r="A29" s="177"/>
      <c r="B29" s="176"/>
      <c r="C29" s="36"/>
      <c r="D29" s="136"/>
      <c r="E29" s="158"/>
      <c r="F29" s="136"/>
      <c r="G29" s="137"/>
    </row>
    <row r="30" spans="1:7" ht="38.25" hidden="1" outlineLevel="1">
      <c r="A30" s="454"/>
      <c r="B30" s="548"/>
      <c r="C30" s="501" t="s">
        <v>341</v>
      </c>
      <c r="D30" s="549"/>
      <c r="E30" s="455"/>
      <c r="F30" s="549"/>
      <c r="G30" s="456"/>
    </row>
    <row r="31" spans="1:7" ht="12.75" outlineLevel="1">
      <c r="A31" s="557" t="s">
        <v>496</v>
      </c>
      <c r="B31" s="551" t="s">
        <v>387</v>
      </c>
      <c r="C31" s="558" t="s">
        <v>534</v>
      </c>
      <c r="D31" s="559"/>
      <c r="E31" s="560"/>
      <c r="F31" s="559"/>
      <c r="G31" s="562">
        <f>G32</f>
        <v>1.099</v>
      </c>
    </row>
    <row r="32" spans="1:7" ht="12.75" outlineLevel="1">
      <c r="A32" s="457">
        <v>2110</v>
      </c>
      <c r="B32" s="467"/>
      <c r="C32" s="460"/>
      <c r="D32" s="458"/>
      <c r="E32" s="459"/>
      <c r="F32" s="516"/>
      <c r="G32" s="460">
        <v>1.099</v>
      </c>
    </row>
    <row r="33" spans="1:7" ht="12.75">
      <c r="A33" s="550" t="s">
        <v>89</v>
      </c>
      <c r="B33" s="551" t="s">
        <v>387</v>
      </c>
      <c r="C33" s="552"/>
      <c r="D33" s="553">
        <f>+D35</f>
        <v>0</v>
      </c>
      <c r="E33" s="554">
        <f>+E35</f>
        <v>0</v>
      </c>
      <c r="F33" s="555">
        <f>+F35</f>
        <v>0</v>
      </c>
      <c r="G33" s="556">
        <f>G35+G115+G116+G122+G123+G124+G125+G126+G127+G128+G129+G130+G131+G132</f>
        <v>1183.524</v>
      </c>
    </row>
    <row r="34" spans="1:7" ht="12.75">
      <c r="A34" s="468"/>
      <c r="B34" s="499" t="s">
        <v>545</v>
      </c>
      <c r="C34" s="502"/>
      <c r="D34" s="500"/>
      <c r="E34" s="455"/>
      <c r="F34" s="472"/>
      <c r="G34" s="474"/>
    </row>
    <row r="35" spans="1:7" ht="27.75" customHeight="1">
      <c r="A35" s="469">
        <v>2131</v>
      </c>
      <c r="B35" s="461"/>
      <c r="C35" s="503" t="s">
        <v>536</v>
      </c>
      <c r="D35" s="493"/>
      <c r="E35" s="494"/>
      <c r="F35" s="493"/>
      <c r="G35" s="495">
        <v>120</v>
      </c>
    </row>
    <row r="36" spans="1:7" ht="25.5" hidden="1" outlineLevel="1">
      <c r="A36" s="513" t="s">
        <v>443</v>
      </c>
      <c r="B36" s="479" t="s">
        <v>464</v>
      </c>
      <c r="C36" s="504"/>
      <c r="D36" s="480">
        <f>SUM(D37:D40)</f>
        <v>0</v>
      </c>
      <c r="E36" s="481">
        <f>SUM(E37:E40)</f>
        <v>0</v>
      </c>
      <c r="F36" s="480">
        <f>SUM(F37:F40)</f>
        <v>0</v>
      </c>
      <c r="G36" s="496">
        <f>SUM(G37:G40)</f>
        <v>0</v>
      </c>
    </row>
    <row r="37" spans="1:7" ht="12.75" hidden="1" outlineLevel="1">
      <c r="A37" s="514"/>
      <c r="B37" s="482" t="s">
        <v>545</v>
      </c>
      <c r="C37" s="504"/>
      <c r="D37" s="477"/>
      <c r="E37" s="478"/>
      <c r="F37" s="477"/>
      <c r="G37" s="497"/>
    </row>
    <row r="38" spans="1:7" ht="12.75" hidden="1" outlineLevel="1">
      <c r="A38" s="514"/>
      <c r="B38" s="482"/>
      <c r="C38" s="504"/>
      <c r="D38" s="477"/>
      <c r="E38" s="478"/>
      <c r="F38" s="477"/>
      <c r="G38" s="497"/>
    </row>
    <row r="39" spans="1:7" ht="12.75" hidden="1" outlineLevel="1">
      <c r="A39" s="514"/>
      <c r="B39" s="482"/>
      <c r="C39" s="504"/>
      <c r="D39" s="477"/>
      <c r="E39" s="478"/>
      <c r="F39" s="477"/>
      <c r="G39" s="497"/>
    </row>
    <row r="40" spans="1:7" ht="12.75" hidden="1" outlineLevel="1">
      <c r="A40" s="514"/>
      <c r="B40" s="482"/>
      <c r="C40" s="504"/>
      <c r="D40" s="477"/>
      <c r="E40" s="478"/>
      <c r="F40" s="477"/>
      <c r="G40" s="497"/>
    </row>
    <row r="41" spans="1:7" ht="25.5" hidden="1" outlineLevel="1">
      <c r="A41" s="513" t="s">
        <v>499</v>
      </c>
      <c r="B41" s="479" t="s">
        <v>503</v>
      </c>
      <c r="C41" s="504"/>
      <c r="D41" s="480">
        <f>+D43</f>
        <v>0</v>
      </c>
      <c r="E41" s="481">
        <f>+E43</f>
        <v>0</v>
      </c>
      <c r="F41" s="480">
        <f>+F43</f>
        <v>0</v>
      </c>
      <c r="G41" s="496">
        <f>+G43</f>
        <v>0</v>
      </c>
    </row>
    <row r="42" spans="1:7" ht="12.75" hidden="1" outlineLevel="1">
      <c r="A42" s="514"/>
      <c r="B42" s="482" t="s">
        <v>545</v>
      </c>
      <c r="C42" s="505"/>
      <c r="D42" s="477"/>
      <c r="E42" s="478"/>
      <c r="F42" s="477"/>
      <c r="G42" s="497"/>
    </row>
    <row r="43" spans="1:7" ht="38.25" hidden="1" outlineLevel="1">
      <c r="A43" s="514"/>
      <c r="B43" s="482"/>
      <c r="C43" s="506" t="s">
        <v>99</v>
      </c>
      <c r="D43" s="451"/>
      <c r="E43" s="452"/>
      <c r="F43" s="453"/>
      <c r="G43" s="450"/>
    </row>
    <row r="44" spans="1:7" ht="38.25" hidden="1" outlineLevel="1" collapsed="1">
      <c r="A44" s="513" t="s">
        <v>557</v>
      </c>
      <c r="B44" s="479" t="s">
        <v>133</v>
      </c>
      <c r="C44" s="504"/>
      <c r="D44" s="480">
        <f>SUM(D45:D72)</f>
        <v>0</v>
      </c>
      <c r="E44" s="481">
        <f>SUM(E45:E72)</f>
        <v>0</v>
      </c>
      <c r="F44" s="480">
        <f>SUM(F45:F72)</f>
        <v>0</v>
      </c>
      <c r="G44" s="496">
        <f>SUM(G45:G72)</f>
        <v>0</v>
      </c>
    </row>
    <row r="45" spans="1:7" ht="12.75" hidden="1" outlineLevel="1">
      <c r="A45" s="514"/>
      <c r="B45" s="482" t="s">
        <v>545</v>
      </c>
      <c r="C45" s="505"/>
      <c r="D45" s="477"/>
      <c r="E45" s="478"/>
      <c r="F45" s="477"/>
      <c r="G45" s="497"/>
    </row>
    <row r="46" spans="1:7" ht="12.75" hidden="1" outlineLevel="1">
      <c r="A46" s="514"/>
      <c r="B46" s="482"/>
      <c r="C46" s="507"/>
      <c r="D46" s="477"/>
      <c r="E46" s="478"/>
      <c r="F46" s="477"/>
      <c r="G46" s="497"/>
    </row>
    <row r="47" spans="1:7" ht="12.75" hidden="1" outlineLevel="1">
      <c r="A47" s="514"/>
      <c r="B47" s="482"/>
      <c r="C47" s="507"/>
      <c r="D47" s="477"/>
      <c r="E47" s="478"/>
      <c r="F47" s="477"/>
      <c r="G47" s="497"/>
    </row>
    <row r="48" spans="1:7" ht="12.75" hidden="1" outlineLevel="1">
      <c r="A48" s="514"/>
      <c r="B48" s="482"/>
      <c r="C48" s="507"/>
      <c r="D48" s="477"/>
      <c r="E48" s="478"/>
      <c r="F48" s="477"/>
      <c r="G48" s="497"/>
    </row>
    <row r="49" spans="1:7" ht="12.75" hidden="1" outlineLevel="1">
      <c r="A49" s="514"/>
      <c r="B49" s="482"/>
      <c r="C49" s="507"/>
      <c r="D49" s="477"/>
      <c r="E49" s="478"/>
      <c r="F49" s="477"/>
      <c r="G49" s="497"/>
    </row>
    <row r="50" spans="1:7" ht="12.75" hidden="1" outlineLevel="1">
      <c r="A50" s="514"/>
      <c r="B50" s="482"/>
      <c r="C50" s="507"/>
      <c r="D50" s="477"/>
      <c r="E50" s="478"/>
      <c r="F50" s="477"/>
      <c r="G50" s="497"/>
    </row>
    <row r="51" spans="1:7" ht="12.75" hidden="1" outlineLevel="1">
      <c r="A51" s="514"/>
      <c r="B51" s="482"/>
      <c r="C51" s="507"/>
      <c r="D51" s="477"/>
      <c r="E51" s="478"/>
      <c r="F51" s="477"/>
      <c r="G51" s="497"/>
    </row>
    <row r="52" spans="1:7" ht="12.75" hidden="1" outlineLevel="1">
      <c r="A52" s="514"/>
      <c r="B52" s="482"/>
      <c r="C52" s="507"/>
      <c r="D52" s="477"/>
      <c r="E52" s="478"/>
      <c r="F52" s="477"/>
      <c r="G52" s="497"/>
    </row>
    <row r="53" spans="1:7" ht="12.75" hidden="1" outlineLevel="1">
      <c r="A53" s="514"/>
      <c r="B53" s="482"/>
      <c r="C53" s="507"/>
      <c r="D53" s="477"/>
      <c r="E53" s="478"/>
      <c r="F53" s="477"/>
      <c r="G53" s="497"/>
    </row>
    <row r="54" spans="1:7" ht="12.75" hidden="1" outlineLevel="1">
      <c r="A54" s="514"/>
      <c r="B54" s="482"/>
      <c r="C54" s="507"/>
      <c r="D54" s="477"/>
      <c r="E54" s="478"/>
      <c r="F54" s="477"/>
      <c r="G54" s="497"/>
    </row>
    <row r="55" spans="1:7" ht="12.75" hidden="1" outlineLevel="1">
      <c r="A55" s="514"/>
      <c r="B55" s="482"/>
      <c r="C55" s="507"/>
      <c r="D55" s="477"/>
      <c r="E55" s="478"/>
      <c r="F55" s="477"/>
      <c r="G55" s="497"/>
    </row>
    <row r="56" spans="1:7" ht="12.75" hidden="1" outlineLevel="1">
      <c r="A56" s="514"/>
      <c r="B56" s="482"/>
      <c r="C56" s="507"/>
      <c r="D56" s="477"/>
      <c r="E56" s="478"/>
      <c r="F56" s="477"/>
      <c r="G56" s="497"/>
    </row>
    <row r="57" spans="1:7" ht="12.75" hidden="1" outlineLevel="1">
      <c r="A57" s="514"/>
      <c r="B57" s="482"/>
      <c r="C57" s="507"/>
      <c r="D57" s="477"/>
      <c r="E57" s="478"/>
      <c r="F57" s="477"/>
      <c r="G57" s="497"/>
    </row>
    <row r="58" spans="1:7" ht="12.75" hidden="1" outlineLevel="1">
      <c r="A58" s="514"/>
      <c r="B58" s="482"/>
      <c r="C58" s="507"/>
      <c r="D58" s="477"/>
      <c r="E58" s="478"/>
      <c r="F58" s="477"/>
      <c r="G58" s="497"/>
    </row>
    <row r="59" spans="1:7" ht="12.75" hidden="1" outlineLevel="1">
      <c r="A59" s="514"/>
      <c r="B59" s="482"/>
      <c r="C59" s="507"/>
      <c r="D59" s="477"/>
      <c r="E59" s="478"/>
      <c r="F59" s="477"/>
      <c r="G59" s="497"/>
    </row>
    <row r="60" spans="1:7" ht="12.75" hidden="1" outlineLevel="1">
      <c r="A60" s="514"/>
      <c r="B60" s="482"/>
      <c r="C60" s="507"/>
      <c r="D60" s="477"/>
      <c r="E60" s="478"/>
      <c r="F60" s="477"/>
      <c r="G60" s="497"/>
    </row>
    <row r="61" spans="1:7" ht="12.75" hidden="1" outlineLevel="1">
      <c r="A61" s="514"/>
      <c r="B61" s="482"/>
      <c r="C61" s="507"/>
      <c r="D61" s="477"/>
      <c r="E61" s="478"/>
      <c r="F61" s="477"/>
      <c r="G61" s="497"/>
    </row>
    <row r="62" spans="1:7" ht="12.75" hidden="1" outlineLevel="1">
      <c r="A62" s="514"/>
      <c r="B62" s="482"/>
      <c r="C62" s="507"/>
      <c r="D62" s="477"/>
      <c r="E62" s="478"/>
      <c r="F62" s="477"/>
      <c r="G62" s="497"/>
    </row>
    <row r="63" spans="1:7" ht="12.75" hidden="1" outlineLevel="1">
      <c r="A63" s="514"/>
      <c r="B63" s="482"/>
      <c r="C63" s="507"/>
      <c r="D63" s="477"/>
      <c r="E63" s="478"/>
      <c r="F63" s="477"/>
      <c r="G63" s="497"/>
    </row>
    <row r="64" spans="1:7" ht="12.75" hidden="1" outlineLevel="1">
      <c r="A64" s="514"/>
      <c r="B64" s="482"/>
      <c r="C64" s="507"/>
      <c r="D64" s="477"/>
      <c r="E64" s="478"/>
      <c r="F64" s="477"/>
      <c r="G64" s="497"/>
    </row>
    <row r="65" spans="1:7" ht="12.75" hidden="1" outlineLevel="1">
      <c r="A65" s="514"/>
      <c r="B65" s="482"/>
      <c r="C65" s="507"/>
      <c r="D65" s="477"/>
      <c r="E65" s="478"/>
      <c r="F65" s="477"/>
      <c r="G65" s="497"/>
    </row>
    <row r="66" spans="1:7" ht="12.75" hidden="1" outlineLevel="1">
      <c r="A66" s="514"/>
      <c r="B66" s="482"/>
      <c r="C66" s="507"/>
      <c r="D66" s="477"/>
      <c r="E66" s="478"/>
      <c r="F66" s="477"/>
      <c r="G66" s="497"/>
    </row>
    <row r="67" spans="1:7" ht="12.75" hidden="1" outlineLevel="1">
      <c r="A67" s="514"/>
      <c r="B67" s="482"/>
      <c r="C67" s="507"/>
      <c r="D67" s="477"/>
      <c r="E67" s="478"/>
      <c r="F67" s="477"/>
      <c r="G67" s="497"/>
    </row>
    <row r="68" spans="1:7" ht="12.75" hidden="1" outlineLevel="1">
      <c r="A68" s="514"/>
      <c r="B68" s="482"/>
      <c r="C68" s="507"/>
      <c r="D68" s="477"/>
      <c r="E68" s="478"/>
      <c r="F68" s="477"/>
      <c r="G68" s="497"/>
    </row>
    <row r="69" spans="1:7" ht="12.75" hidden="1" outlineLevel="1">
      <c r="A69" s="514"/>
      <c r="B69" s="482"/>
      <c r="C69" s="507"/>
      <c r="D69" s="477"/>
      <c r="E69" s="478"/>
      <c r="F69" s="477"/>
      <c r="G69" s="497"/>
    </row>
    <row r="70" spans="1:7" ht="12.75" hidden="1" outlineLevel="1">
      <c r="A70" s="514"/>
      <c r="B70" s="482"/>
      <c r="C70" s="507"/>
      <c r="D70" s="477"/>
      <c r="E70" s="478"/>
      <c r="F70" s="477"/>
      <c r="G70" s="497"/>
    </row>
    <row r="71" spans="1:7" ht="12.75" hidden="1" outlineLevel="1">
      <c r="A71" s="514"/>
      <c r="B71" s="482"/>
      <c r="C71" s="507"/>
      <c r="D71" s="477"/>
      <c r="E71" s="478"/>
      <c r="F71" s="477"/>
      <c r="G71" s="497"/>
    </row>
    <row r="72" spans="1:7" ht="12.75" hidden="1" outlineLevel="1">
      <c r="A72" s="514"/>
      <c r="B72" s="482"/>
      <c r="C72" s="507"/>
      <c r="D72" s="477"/>
      <c r="E72" s="478"/>
      <c r="F72" s="477"/>
      <c r="G72" s="497"/>
    </row>
    <row r="73" spans="1:7" ht="38.25" hidden="1" outlineLevel="1">
      <c r="A73" s="515" t="s">
        <v>507</v>
      </c>
      <c r="B73" s="483" t="s">
        <v>227</v>
      </c>
      <c r="C73" s="504"/>
      <c r="D73" s="484">
        <f>SUM(D74:D91)</f>
        <v>0</v>
      </c>
      <c r="E73" s="485">
        <f>SUM(E74:E91)</f>
        <v>0</v>
      </c>
      <c r="F73" s="484">
        <f>SUM(F74:F91)</f>
        <v>0</v>
      </c>
      <c r="G73" s="496">
        <f>SUM(G74:G91)</f>
        <v>0</v>
      </c>
    </row>
    <row r="74" spans="1:8" ht="12.75" hidden="1" outlineLevel="1">
      <c r="A74" s="470"/>
      <c r="B74" s="482" t="s">
        <v>545</v>
      </c>
      <c r="C74" s="508"/>
      <c r="D74" s="487"/>
      <c r="E74" s="478"/>
      <c r="F74" s="477"/>
      <c r="G74" s="497"/>
      <c r="H74" s="40"/>
    </row>
    <row r="75" spans="1:11" ht="25.5" hidden="1" outlineLevel="1">
      <c r="A75" s="470"/>
      <c r="B75" s="486"/>
      <c r="C75" s="506" t="s">
        <v>91</v>
      </c>
      <c r="D75" s="451"/>
      <c r="E75" s="452"/>
      <c r="F75" s="453"/>
      <c r="G75" s="450"/>
      <c r="H75" s="33">
        <v>70</v>
      </c>
      <c r="I75" s="33">
        <v>80</v>
      </c>
      <c r="J75" s="33">
        <v>110</v>
      </c>
      <c r="K75" s="33">
        <v>130</v>
      </c>
    </row>
    <row r="76" spans="1:12" ht="12.75" hidden="1" outlineLevel="1" collapsed="1">
      <c r="A76" s="470"/>
      <c r="B76" s="486"/>
      <c r="C76" s="506"/>
      <c r="D76" s="451"/>
      <c r="E76" s="452"/>
      <c r="F76" s="453"/>
      <c r="G76" s="450"/>
      <c r="H76" s="40">
        <f>+G75+G79</f>
        <v>0</v>
      </c>
      <c r="I76" s="40" t="e">
        <f>+G76+G77+#REF!+G78+G80+#REF!</f>
        <v>#REF!</v>
      </c>
      <c r="J76" s="40" t="e">
        <f>+#REF!+#REF!+#REF!+#REF!</f>
        <v>#REF!</v>
      </c>
      <c r="K76" s="40" t="e">
        <f>+G81+#REF!</f>
        <v>#REF!</v>
      </c>
      <c r="L76" s="40" t="e">
        <f>SUM(H76:K76)</f>
        <v>#REF!</v>
      </c>
    </row>
    <row r="77" spans="1:12" ht="12.75" hidden="1" outlineLevel="1">
      <c r="A77" s="470"/>
      <c r="B77" s="486"/>
      <c r="C77" s="506"/>
      <c r="D77" s="488"/>
      <c r="E77" s="489"/>
      <c r="F77" s="490"/>
      <c r="G77" s="450"/>
      <c r="L77" s="33">
        <v>2000</v>
      </c>
    </row>
    <row r="78" spans="1:12" ht="12.75" hidden="1" outlineLevel="1">
      <c r="A78" s="470"/>
      <c r="B78" s="486"/>
      <c r="C78" s="506"/>
      <c r="D78" s="451"/>
      <c r="E78" s="452"/>
      <c r="F78" s="453"/>
      <c r="G78" s="450"/>
      <c r="L78" s="40" t="e">
        <f>+#REF!-G73</f>
        <v>#REF!</v>
      </c>
    </row>
    <row r="79" spans="1:12" ht="12.75" hidden="1" outlineLevel="1">
      <c r="A79" s="470"/>
      <c r="B79" s="486"/>
      <c r="C79" s="506"/>
      <c r="D79" s="451"/>
      <c r="E79" s="452"/>
      <c r="F79" s="453"/>
      <c r="G79" s="450"/>
      <c r="I79" s="33">
        <v>2578.7</v>
      </c>
      <c r="L79" s="33">
        <v>4550.7</v>
      </c>
    </row>
    <row r="80" spans="1:12" ht="29.25" customHeight="1" hidden="1" outlineLevel="1">
      <c r="A80" s="470"/>
      <c r="B80" s="486"/>
      <c r="C80" s="506"/>
      <c r="D80" s="451"/>
      <c r="E80" s="452"/>
      <c r="F80" s="453"/>
      <c r="G80" s="450"/>
      <c r="I80" s="33">
        <v>2800</v>
      </c>
      <c r="L80" s="33">
        <f>+L79-L77</f>
        <v>2550.7</v>
      </c>
    </row>
    <row r="81" spans="1:12" ht="12.75" hidden="1" outlineLevel="1">
      <c r="A81" s="470"/>
      <c r="B81" s="486"/>
      <c r="C81" s="506"/>
      <c r="D81" s="451"/>
      <c r="E81" s="452"/>
      <c r="F81" s="453"/>
      <c r="G81" s="450"/>
      <c r="I81" s="33">
        <f>+I80-I79</f>
        <v>221.30000000000018</v>
      </c>
      <c r="L81" s="40" t="e">
        <f>+L80+L78</f>
        <v>#REF!</v>
      </c>
    </row>
    <row r="82" spans="1:12" ht="12.75" hidden="1" outlineLevel="1">
      <c r="A82" s="470"/>
      <c r="B82" s="486"/>
      <c r="C82" s="506"/>
      <c r="D82" s="451"/>
      <c r="E82" s="452"/>
      <c r="F82" s="453"/>
      <c r="G82" s="450"/>
      <c r="L82" s="40"/>
    </row>
    <row r="83" spans="1:12" ht="12.75" hidden="1" outlineLevel="1">
      <c r="A83" s="470"/>
      <c r="B83" s="486"/>
      <c r="C83" s="506"/>
      <c r="D83" s="451"/>
      <c r="E83" s="452"/>
      <c r="F83" s="453"/>
      <c r="G83" s="450"/>
      <c r="L83" s="40"/>
    </row>
    <row r="84" spans="1:12" ht="12.75" hidden="1" outlineLevel="1">
      <c r="A84" s="470"/>
      <c r="B84" s="486"/>
      <c r="C84" s="506"/>
      <c r="D84" s="451"/>
      <c r="E84" s="452"/>
      <c r="F84" s="453"/>
      <c r="G84" s="450"/>
      <c r="L84" s="40"/>
    </row>
    <row r="85" spans="1:12" ht="12.75" hidden="1" outlineLevel="1">
      <c r="A85" s="470"/>
      <c r="B85" s="486"/>
      <c r="C85" s="506"/>
      <c r="D85" s="451"/>
      <c r="E85" s="452"/>
      <c r="F85" s="453"/>
      <c r="G85" s="450"/>
      <c r="L85" s="40"/>
    </row>
    <row r="86" spans="1:12" ht="12.75" hidden="1" outlineLevel="1">
      <c r="A86" s="470"/>
      <c r="B86" s="486"/>
      <c r="C86" s="506"/>
      <c r="D86" s="451"/>
      <c r="E86" s="452"/>
      <c r="F86" s="453"/>
      <c r="G86" s="450"/>
      <c r="L86" s="40"/>
    </row>
    <row r="87" spans="1:12" ht="12.75" hidden="1" outlineLevel="1">
      <c r="A87" s="470"/>
      <c r="B87" s="486"/>
      <c r="C87" s="506"/>
      <c r="D87" s="451"/>
      <c r="E87" s="452"/>
      <c r="F87" s="453"/>
      <c r="G87" s="450"/>
      <c r="L87" s="40"/>
    </row>
    <row r="88" spans="1:12" ht="12.75" hidden="1" outlineLevel="1">
      <c r="A88" s="470"/>
      <c r="B88" s="486"/>
      <c r="C88" s="506"/>
      <c r="D88" s="451"/>
      <c r="E88" s="452"/>
      <c r="F88" s="453"/>
      <c r="G88" s="450"/>
      <c r="L88" s="40"/>
    </row>
    <row r="89" spans="1:12" ht="12.75" hidden="1" outlineLevel="1">
      <c r="A89" s="470"/>
      <c r="B89" s="486"/>
      <c r="C89" s="506"/>
      <c r="D89" s="451"/>
      <c r="E89" s="452"/>
      <c r="F89" s="453"/>
      <c r="G89" s="450"/>
      <c r="L89" s="40"/>
    </row>
    <row r="90" spans="1:12" ht="12.75" hidden="1" outlineLevel="1">
      <c r="A90" s="470"/>
      <c r="B90" s="486"/>
      <c r="C90" s="506"/>
      <c r="D90" s="451"/>
      <c r="E90" s="452"/>
      <c r="F90" s="453"/>
      <c r="G90" s="450"/>
      <c r="L90" s="40"/>
    </row>
    <row r="91" spans="1:7" ht="12.75" hidden="1" outlineLevel="1">
      <c r="A91" s="470"/>
      <c r="B91" s="486"/>
      <c r="C91" s="509" t="s">
        <v>126</v>
      </c>
      <c r="D91" s="491">
        <f>+D93+D96+D101+D104+D105</f>
        <v>0</v>
      </c>
      <c r="E91" s="492">
        <f>+E93+E96+E101+E104+E105</f>
        <v>0</v>
      </c>
      <c r="F91" s="480">
        <f>+F93+F96+F101+F104+F105</f>
        <v>0</v>
      </c>
      <c r="G91" s="498">
        <f>+G93+G96+G101+G104+G105</f>
        <v>0</v>
      </c>
    </row>
    <row r="92" spans="1:7" ht="12.75" hidden="1" outlineLevel="1">
      <c r="A92" s="470"/>
      <c r="B92" s="486"/>
      <c r="C92" s="510" t="s">
        <v>566</v>
      </c>
      <c r="D92" s="487"/>
      <c r="E92" s="478"/>
      <c r="F92" s="453"/>
      <c r="G92" s="497"/>
    </row>
    <row r="93" spans="1:7" ht="12.75" hidden="1" outlineLevel="1">
      <c r="A93" s="470"/>
      <c r="B93" s="486"/>
      <c r="C93" s="506" t="s">
        <v>127</v>
      </c>
      <c r="D93" s="451"/>
      <c r="E93" s="452"/>
      <c r="F93" s="453"/>
      <c r="G93" s="450"/>
    </row>
    <row r="94" spans="1:7" ht="12.75" hidden="1" outlineLevel="1">
      <c r="A94" s="470"/>
      <c r="B94" s="486"/>
      <c r="C94" s="511" t="s">
        <v>566</v>
      </c>
      <c r="D94" s="451"/>
      <c r="E94" s="452"/>
      <c r="F94" s="453"/>
      <c r="G94" s="450"/>
    </row>
    <row r="95" spans="1:7" ht="12.75" hidden="1" outlineLevel="1">
      <c r="A95" s="470"/>
      <c r="B95" s="486"/>
      <c r="C95" s="506" t="s">
        <v>97</v>
      </c>
      <c r="D95" s="451"/>
      <c r="E95" s="452"/>
      <c r="F95" s="453"/>
      <c r="G95" s="450"/>
    </row>
    <row r="96" spans="1:7" ht="12.75" hidden="1" outlineLevel="1">
      <c r="A96" s="470"/>
      <c r="B96" s="486"/>
      <c r="C96" s="506" t="s">
        <v>92</v>
      </c>
      <c r="D96" s="451"/>
      <c r="E96" s="452"/>
      <c r="F96" s="453"/>
      <c r="G96" s="450"/>
    </row>
    <row r="97" spans="1:7" ht="12.75" hidden="1" outlineLevel="1">
      <c r="A97" s="470"/>
      <c r="B97" s="486"/>
      <c r="C97" s="511" t="s">
        <v>566</v>
      </c>
      <c r="D97" s="451"/>
      <c r="E97" s="452"/>
      <c r="F97" s="453"/>
      <c r="G97" s="450"/>
    </row>
    <row r="98" spans="1:7" ht="25.5" hidden="1" outlineLevel="1">
      <c r="A98" s="470"/>
      <c r="B98" s="486"/>
      <c r="C98" s="506" t="s">
        <v>128</v>
      </c>
      <c r="D98" s="451"/>
      <c r="E98" s="452"/>
      <c r="F98" s="453"/>
      <c r="G98" s="450"/>
    </row>
    <row r="99" spans="1:7" ht="12.75" hidden="1" outlineLevel="1">
      <c r="A99" s="470"/>
      <c r="B99" s="486"/>
      <c r="C99" s="506" t="s">
        <v>93</v>
      </c>
      <c r="D99" s="451"/>
      <c r="E99" s="452"/>
      <c r="F99" s="453"/>
      <c r="G99" s="450"/>
    </row>
    <row r="100" spans="1:7" ht="12.75" hidden="1" outlineLevel="1">
      <c r="A100" s="470"/>
      <c r="B100" s="486"/>
      <c r="C100" s="511" t="s">
        <v>566</v>
      </c>
      <c r="D100" s="451"/>
      <c r="E100" s="452"/>
      <c r="F100" s="453"/>
      <c r="G100" s="450"/>
    </row>
    <row r="101" spans="1:7" ht="12.75" hidden="1" outlineLevel="1">
      <c r="A101" s="470"/>
      <c r="B101" s="486"/>
      <c r="C101" s="506" t="s">
        <v>129</v>
      </c>
      <c r="D101" s="451"/>
      <c r="E101" s="452"/>
      <c r="F101" s="453"/>
      <c r="G101" s="450"/>
    </row>
    <row r="102" spans="1:7" ht="12.75" hidden="1" outlineLevel="1">
      <c r="A102" s="470"/>
      <c r="B102" s="486"/>
      <c r="C102" s="506" t="s">
        <v>94</v>
      </c>
      <c r="D102" s="451"/>
      <c r="E102" s="452"/>
      <c r="F102" s="453"/>
      <c r="G102" s="450"/>
    </row>
    <row r="103" spans="1:7" ht="12.75" hidden="1" outlineLevel="1">
      <c r="A103" s="470"/>
      <c r="B103" s="486"/>
      <c r="C103" s="511" t="s">
        <v>566</v>
      </c>
      <c r="D103" s="451"/>
      <c r="E103" s="452"/>
      <c r="F103" s="453"/>
      <c r="G103" s="450"/>
    </row>
    <row r="104" spans="1:7" ht="12.75" hidden="1" outlineLevel="1">
      <c r="A104" s="470"/>
      <c r="B104" s="486"/>
      <c r="C104" s="506" t="s">
        <v>130</v>
      </c>
      <c r="D104" s="451"/>
      <c r="E104" s="452"/>
      <c r="F104" s="453"/>
      <c r="G104" s="450"/>
    </row>
    <row r="105" spans="1:7" ht="12.75" hidden="1" outlineLevel="1">
      <c r="A105" s="470"/>
      <c r="B105" s="486"/>
      <c r="C105" s="506" t="s">
        <v>95</v>
      </c>
      <c r="D105" s="451"/>
      <c r="E105" s="452"/>
      <c r="F105" s="453"/>
      <c r="G105" s="450"/>
    </row>
    <row r="106" spans="1:7" ht="12.75" hidden="1" outlineLevel="1">
      <c r="A106" s="470"/>
      <c r="B106" s="486"/>
      <c r="C106" s="511" t="s">
        <v>566</v>
      </c>
      <c r="D106" s="451"/>
      <c r="E106" s="452"/>
      <c r="F106" s="453"/>
      <c r="G106" s="450"/>
    </row>
    <row r="107" spans="1:7" ht="12.75" hidden="1" outlineLevel="1">
      <c r="A107" s="470"/>
      <c r="B107" s="449"/>
      <c r="C107" s="506" t="s">
        <v>131</v>
      </c>
      <c r="D107" s="451"/>
      <c r="E107" s="452"/>
      <c r="F107" s="453"/>
      <c r="G107" s="450"/>
    </row>
    <row r="108" spans="1:7" ht="12.75" outlineLevel="1">
      <c r="A108" s="457"/>
      <c r="B108" s="564"/>
      <c r="C108" s="569" t="s">
        <v>545</v>
      </c>
      <c r="D108" s="565"/>
      <c r="E108" s="566"/>
      <c r="F108" s="567"/>
      <c r="G108" s="568"/>
    </row>
    <row r="109" spans="1:7" ht="12.75" outlineLevel="1">
      <c r="A109" s="470"/>
      <c r="B109" s="449"/>
      <c r="C109" s="506" t="s">
        <v>388</v>
      </c>
      <c r="D109" s="451"/>
      <c r="E109" s="452"/>
      <c r="F109" s="453"/>
      <c r="G109" s="450"/>
    </row>
    <row r="110" spans="1:7" ht="12.75" outlineLevel="1">
      <c r="A110" s="470"/>
      <c r="B110" s="449"/>
      <c r="C110" s="506" t="s">
        <v>389</v>
      </c>
      <c r="D110" s="451"/>
      <c r="E110" s="452"/>
      <c r="F110" s="453"/>
      <c r="G110" s="450"/>
    </row>
    <row r="111" spans="1:7" ht="12.75" outlineLevel="1">
      <c r="A111" s="470"/>
      <c r="B111" s="449"/>
      <c r="C111" s="506" t="s">
        <v>390</v>
      </c>
      <c r="D111" s="451"/>
      <c r="E111" s="452"/>
      <c r="F111" s="453"/>
      <c r="G111" s="450"/>
    </row>
    <row r="112" spans="1:7" ht="12.75" outlineLevel="1">
      <c r="A112" s="470"/>
      <c r="B112" s="449"/>
      <c r="C112" s="506" t="s">
        <v>527</v>
      </c>
      <c r="D112" s="451"/>
      <c r="E112" s="452"/>
      <c r="F112" s="453"/>
      <c r="G112" s="450"/>
    </row>
    <row r="113" spans="1:7" ht="12.75" outlineLevel="1">
      <c r="A113" s="470"/>
      <c r="B113" s="449"/>
      <c r="C113" s="506" t="s">
        <v>391</v>
      </c>
      <c r="D113" s="451"/>
      <c r="E113" s="452"/>
      <c r="F113" s="453"/>
      <c r="G113" s="450"/>
    </row>
    <row r="114" spans="1:7" ht="12.75" outlineLevel="1">
      <c r="A114" s="471"/>
      <c r="B114" s="462"/>
      <c r="C114" s="512" t="s">
        <v>392</v>
      </c>
      <c r="D114" s="464"/>
      <c r="E114" s="465"/>
      <c r="F114" s="466"/>
      <c r="G114" s="463"/>
    </row>
    <row r="115" spans="1:7" ht="12.75">
      <c r="A115" s="471">
        <v>2123</v>
      </c>
      <c r="B115" s="462"/>
      <c r="C115" s="476" t="s">
        <v>395</v>
      </c>
      <c r="D115" s="464"/>
      <c r="E115" s="465"/>
      <c r="F115" s="466"/>
      <c r="G115" s="476">
        <v>60</v>
      </c>
    </row>
    <row r="116" spans="1:7" ht="12.75">
      <c r="A116" s="470">
        <v>2110</v>
      </c>
      <c r="B116" s="449"/>
      <c r="C116" s="475" t="s">
        <v>535</v>
      </c>
      <c r="D116" s="451"/>
      <c r="E116" s="452"/>
      <c r="F116" s="453"/>
      <c r="G116" s="475">
        <f>G118+G119+G120+G121</f>
        <v>416.3</v>
      </c>
    </row>
    <row r="117" spans="1:7" ht="12.75">
      <c r="A117" s="457"/>
      <c r="B117" s="564"/>
      <c r="C117" s="569" t="s">
        <v>545</v>
      </c>
      <c r="D117" s="565"/>
      <c r="E117" s="566"/>
      <c r="F117" s="567"/>
      <c r="G117" s="460"/>
    </row>
    <row r="118" spans="1:7" ht="12.75">
      <c r="A118" s="470"/>
      <c r="B118" s="449"/>
      <c r="C118" s="475" t="s">
        <v>396</v>
      </c>
      <c r="D118" s="451"/>
      <c r="E118" s="452"/>
      <c r="F118" s="453"/>
      <c r="G118" s="475">
        <v>21</v>
      </c>
    </row>
    <row r="119" spans="1:7" ht="12.75">
      <c r="A119" s="470"/>
      <c r="B119" s="449"/>
      <c r="C119" s="475" t="s">
        <v>397</v>
      </c>
      <c r="D119" s="451"/>
      <c r="E119" s="452"/>
      <c r="F119" s="453"/>
      <c r="G119" s="475">
        <v>130</v>
      </c>
    </row>
    <row r="120" spans="1:7" ht="12.75">
      <c r="A120" s="470"/>
      <c r="B120" s="449"/>
      <c r="C120" s="475" t="s">
        <v>398</v>
      </c>
      <c r="D120" s="451"/>
      <c r="E120" s="452"/>
      <c r="F120" s="453"/>
      <c r="G120" s="475">
        <v>95.3</v>
      </c>
    </row>
    <row r="121" spans="1:7" ht="12.75">
      <c r="A121" s="470"/>
      <c r="B121" s="449"/>
      <c r="C121" s="475" t="s">
        <v>399</v>
      </c>
      <c r="D121" s="451"/>
      <c r="E121" s="452"/>
      <c r="F121" s="453"/>
      <c r="G121" s="475">
        <v>170</v>
      </c>
    </row>
    <row r="122" spans="1:7" ht="12.75">
      <c r="A122" s="457">
        <v>2110</v>
      </c>
      <c r="B122" s="180"/>
      <c r="C122" s="460" t="s">
        <v>400</v>
      </c>
      <c r="D122" s="458"/>
      <c r="E122" s="459"/>
      <c r="F122" s="460"/>
      <c r="G122" s="460">
        <v>15</v>
      </c>
    </row>
    <row r="123" spans="1:7" ht="12.75">
      <c r="A123" s="457">
        <v>2110</v>
      </c>
      <c r="B123" s="180"/>
      <c r="C123" s="460" t="s">
        <v>401</v>
      </c>
      <c r="D123" s="458"/>
      <c r="E123" s="459"/>
      <c r="F123" s="460"/>
      <c r="G123" s="460">
        <v>60</v>
      </c>
    </row>
    <row r="124" spans="1:7" ht="12.75">
      <c r="A124" s="457">
        <v>2131</v>
      </c>
      <c r="B124" s="467"/>
      <c r="C124" s="460" t="s">
        <v>528</v>
      </c>
      <c r="D124" s="458"/>
      <c r="E124" s="459"/>
      <c r="F124" s="516"/>
      <c r="G124" s="460">
        <v>14.781</v>
      </c>
    </row>
    <row r="125" spans="1:7" ht="12.75">
      <c r="A125" s="457">
        <v>2133</v>
      </c>
      <c r="B125" s="467"/>
      <c r="C125" s="460" t="s">
        <v>532</v>
      </c>
      <c r="D125" s="458"/>
      <c r="E125" s="459"/>
      <c r="F125" s="516"/>
      <c r="G125" s="460">
        <v>79.999</v>
      </c>
    </row>
    <row r="126" spans="1:7" ht="12.75">
      <c r="A126" s="457">
        <v>2133</v>
      </c>
      <c r="B126" s="467"/>
      <c r="C126" s="460" t="s">
        <v>529</v>
      </c>
      <c r="D126" s="458"/>
      <c r="E126" s="459"/>
      <c r="F126" s="516"/>
      <c r="G126" s="460">
        <v>1.457</v>
      </c>
    </row>
    <row r="127" spans="1:7" ht="25.5">
      <c r="A127" s="457">
        <v>2133</v>
      </c>
      <c r="B127" s="467"/>
      <c r="C127" s="517" t="s">
        <v>530</v>
      </c>
      <c r="D127" s="458"/>
      <c r="E127" s="459"/>
      <c r="F127" s="516"/>
      <c r="G127" s="460">
        <v>6.807</v>
      </c>
    </row>
    <row r="128" spans="1:7" ht="12.75">
      <c r="A128" s="457">
        <v>2133</v>
      </c>
      <c r="B128" s="467"/>
      <c r="C128" s="460" t="s">
        <v>531</v>
      </c>
      <c r="D128" s="458"/>
      <c r="E128" s="459"/>
      <c r="F128" s="516"/>
      <c r="G128" s="460">
        <v>8.75</v>
      </c>
    </row>
    <row r="129" spans="1:7" ht="12.75">
      <c r="A129" s="457">
        <v>2133</v>
      </c>
      <c r="B129" s="180"/>
      <c r="C129" s="561" t="s">
        <v>393</v>
      </c>
      <c r="D129" s="458"/>
      <c r="E129" s="459"/>
      <c r="F129" s="460"/>
      <c r="G129" s="460">
        <v>130.5</v>
      </c>
    </row>
    <row r="130" spans="1:7" ht="12.75">
      <c r="A130" s="457">
        <v>2133</v>
      </c>
      <c r="B130" s="180"/>
      <c r="C130" s="460" t="s">
        <v>394</v>
      </c>
      <c r="D130" s="458"/>
      <c r="E130" s="459"/>
      <c r="F130" s="460"/>
      <c r="G130" s="460">
        <v>103.2</v>
      </c>
    </row>
    <row r="131" spans="1:7" ht="25.5">
      <c r="A131" s="457">
        <v>2143</v>
      </c>
      <c r="B131" s="467"/>
      <c r="C131" s="517" t="s">
        <v>533</v>
      </c>
      <c r="D131" s="458"/>
      <c r="E131" s="459"/>
      <c r="F131" s="516"/>
      <c r="G131" s="460">
        <v>41.73</v>
      </c>
    </row>
    <row r="132" spans="1:7" ht="12.75">
      <c r="A132" s="457">
        <v>2143</v>
      </c>
      <c r="B132" s="467"/>
      <c r="C132" s="506" t="s">
        <v>537</v>
      </c>
      <c r="D132" s="458"/>
      <c r="E132" s="459"/>
      <c r="F132" s="516"/>
      <c r="G132" s="475">
        <v>125</v>
      </c>
    </row>
    <row r="133" spans="1:7" ht="12.75">
      <c r="A133" s="179"/>
      <c r="B133" s="563" t="s">
        <v>281</v>
      </c>
      <c r="C133" s="179"/>
      <c r="D133" s="138" t="e">
        <f>+D12+D14+D23+D36+D73+D21+D44+D41+#REF!+D33</f>
        <v>#REF!</v>
      </c>
      <c r="E133" s="160" t="e">
        <f>+E12+E14+E23+E36+E73+E21+E44+E41+#REF!+E33</f>
        <v>#REF!</v>
      </c>
      <c r="F133" s="473" t="e">
        <f>+F12+F14+F23+F36+F73+F21+F44+F41+#REF!+F33</f>
        <v>#REF!</v>
      </c>
      <c r="G133" s="562">
        <f>G31+G33</f>
        <v>1184.6229999999998</v>
      </c>
    </row>
    <row r="134" spans="2:7" ht="12" hidden="1" outlineLevel="1" collapsed="1">
      <c r="B134" s="134"/>
      <c r="E134" s="161"/>
      <c r="F134" s="33">
        <f>16832.581+410+291.4+9926.5</f>
        <v>27460.481</v>
      </c>
      <c r="G134" s="135">
        <f>+КФК!J43</f>
        <v>1055.349</v>
      </c>
    </row>
    <row r="135" spans="3:7" ht="12.75" hidden="1" outlineLevel="1">
      <c r="C135" s="40"/>
      <c r="E135" s="161"/>
      <c r="F135" s="40">
        <f>+F134-G133</f>
        <v>26275.858</v>
      </c>
      <c r="G135" s="162">
        <f>+G134-G133</f>
        <v>-129.2739999999999</v>
      </c>
    </row>
    <row r="136" spans="1:7" ht="12" collapsed="1">
      <c r="A136" s="37"/>
      <c r="B136" s="37"/>
      <c r="C136" s="37"/>
      <c r="E136" s="161"/>
      <c r="G136" s="40"/>
    </row>
    <row r="137" spans="1:7" ht="12">
      <c r="A137" s="37"/>
      <c r="B137" s="37"/>
      <c r="C137" s="37"/>
      <c r="E137" s="161"/>
      <c r="G137" s="40"/>
    </row>
    <row r="138" spans="1:5" ht="18">
      <c r="A138" s="5"/>
      <c r="B138" s="37"/>
      <c r="C138" s="106"/>
      <c r="E138" s="161"/>
    </row>
    <row r="139" spans="1:5" ht="18">
      <c r="A139" s="5"/>
      <c r="B139" s="441" t="s">
        <v>489</v>
      </c>
      <c r="C139" s="88" t="s">
        <v>490</v>
      </c>
      <c r="D139" s="22"/>
      <c r="E139" s="22" t="s">
        <v>490</v>
      </c>
    </row>
    <row r="140" spans="1:7" ht="18">
      <c r="A140" s="5"/>
      <c r="B140" s="38"/>
      <c r="C140" s="682"/>
      <c r="D140" s="682"/>
      <c r="E140" s="682"/>
      <c r="F140" s="682"/>
      <c r="G140" s="682"/>
    </row>
    <row r="141" spans="1:5" ht="18">
      <c r="A141" s="5"/>
      <c r="B141" s="39"/>
      <c r="C141" s="39"/>
      <c r="E141" s="161"/>
    </row>
    <row r="142" ht="12">
      <c r="E142" s="161"/>
    </row>
    <row r="143" ht="12">
      <c r="E143" s="161"/>
    </row>
    <row r="144" ht="12">
      <c r="E144" s="161"/>
    </row>
    <row r="145" ht="12">
      <c r="E145" s="161"/>
    </row>
    <row r="146" ht="12">
      <c r="E146" s="161"/>
    </row>
    <row r="147" ht="12">
      <c r="E147" s="161"/>
    </row>
    <row r="148" ht="12">
      <c r="E148" s="161"/>
    </row>
    <row r="149" ht="12">
      <c r="E149" s="161"/>
    </row>
    <row r="150" ht="12">
      <c r="E150" s="161"/>
    </row>
    <row r="151" ht="12">
      <c r="E151" s="161"/>
    </row>
    <row r="152" ht="12">
      <c r="E152" s="161"/>
    </row>
    <row r="153" ht="12">
      <c r="E153" s="161"/>
    </row>
    <row r="154" ht="12">
      <c r="E154" s="161"/>
    </row>
    <row r="155" ht="12">
      <c r="E155" s="161"/>
    </row>
    <row r="156" ht="12">
      <c r="E156" s="161"/>
    </row>
    <row r="157" ht="12">
      <c r="E157" s="161"/>
    </row>
    <row r="158" ht="12">
      <c r="E158" s="161"/>
    </row>
    <row r="159" ht="12">
      <c r="E159" s="161"/>
    </row>
    <row r="160" ht="12">
      <c r="E160" s="161"/>
    </row>
    <row r="161" ht="12">
      <c r="E161" s="161"/>
    </row>
    <row r="162" ht="12">
      <c r="E162" s="161"/>
    </row>
    <row r="163" ht="12">
      <c r="E163" s="161"/>
    </row>
    <row r="164" ht="12">
      <c r="E164" s="161"/>
    </row>
    <row r="165" ht="12">
      <c r="E165" s="161"/>
    </row>
    <row r="166" ht="12">
      <c r="E166" s="161"/>
    </row>
    <row r="167" ht="12">
      <c r="E167" s="161"/>
    </row>
    <row r="168" ht="12">
      <c r="E168" s="161"/>
    </row>
    <row r="169" ht="12">
      <c r="E169" s="161"/>
    </row>
    <row r="170" ht="12">
      <c r="E170" s="161"/>
    </row>
    <row r="171" ht="12">
      <c r="E171" s="161"/>
    </row>
    <row r="172" ht="12">
      <c r="E172" s="161"/>
    </row>
    <row r="173" ht="12">
      <c r="E173" s="161"/>
    </row>
    <row r="174" ht="12">
      <c r="E174" s="161"/>
    </row>
    <row r="175" ht="12">
      <c r="E175" s="161"/>
    </row>
    <row r="176" ht="12">
      <c r="E176" s="161"/>
    </row>
    <row r="177" ht="12">
      <c r="E177" s="161"/>
    </row>
    <row r="178" ht="12">
      <c r="E178" s="161"/>
    </row>
    <row r="179" ht="12">
      <c r="E179" s="161"/>
    </row>
    <row r="180" ht="12">
      <c r="E180" s="161"/>
    </row>
    <row r="181" ht="12">
      <c r="E181" s="161"/>
    </row>
    <row r="182" ht="12">
      <c r="E182" s="161"/>
    </row>
    <row r="183" ht="12">
      <c r="E183" s="161"/>
    </row>
    <row r="184" ht="12">
      <c r="E184" s="161"/>
    </row>
    <row r="185" ht="12">
      <c r="E185" s="161"/>
    </row>
    <row r="186" ht="12">
      <c r="E186" s="161"/>
    </row>
    <row r="187" ht="12">
      <c r="E187" s="161"/>
    </row>
    <row r="188" ht="12">
      <c r="E188" s="161"/>
    </row>
    <row r="189" ht="12">
      <c r="E189" s="161"/>
    </row>
    <row r="190" ht="12">
      <c r="E190" s="161"/>
    </row>
    <row r="191" ht="12">
      <c r="E191" s="161"/>
    </row>
    <row r="192" ht="12">
      <c r="E192" s="161"/>
    </row>
    <row r="193" ht="12">
      <c r="E193" s="161"/>
    </row>
    <row r="194" ht="12">
      <c r="E194" s="161"/>
    </row>
    <row r="195" ht="12">
      <c r="E195" s="161"/>
    </row>
    <row r="196" ht="12">
      <c r="E196" s="161"/>
    </row>
    <row r="197" ht="12">
      <c r="E197" s="161"/>
    </row>
    <row r="198" ht="12">
      <c r="E198" s="161"/>
    </row>
    <row r="199" ht="12">
      <c r="E199" s="161"/>
    </row>
    <row r="200" ht="12">
      <c r="E200" s="161"/>
    </row>
    <row r="201" ht="12">
      <c r="E201" s="161"/>
    </row>
  </sheetData>
  <mergeCells count="5">
    <mergeCell ref="C140:G140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2012-10-22T13:10:42Z</cp:lastPrinted>
  <dcterms:created xsi:type="dcterms:W3CDTF">2005-12-20T08:09:25Z</dcterms:created>
  <dcterms:modified xsi:type="dcterms:W3CDTF">2012-10-25T05:41:12Z</dcterms:modified>
  <cp:category/>
  <cp:version/>
  <cp:contentType/>
  <cp:contentStatus/>
</cp:coreProperties>
</file>